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5"/>
  </bookViews>
  <sheets>
    <sheet name="Staffel A" sheetId="1" r:id="rId1"/>
    <sheet name="Staffel B" sheetId="2" r:id="rId2"/>
    <sheet name="Staffel C" sheetId="3" r:id="rId3"/>
    <sheet name="Staffel D" sheetId="4" r:id="rId4"/>
    <sheet name="Staffel E" sheetId="5" r:id="rId5"/>
    <sheet name="Pokal" sheetId="6" r:id="rId6"/>
  </sheets>
  <definedNames>
    <definedName name="_xlnm.Print_Area" localSheetId="5">'Pokal'!$A$2:$G$26</definedName>
    <definedName name="_xlnm.Print_Area" localSheetId="0">'Staffel A'!$A$1:$AH$33</definedName>
    <definedName name="_xlnm.Print_Area" localSheetId="1">'Staffel B'!$A$1:$AH$33</definedName>
    <definedName name="_xlnm.Print_Area" localSheetId="2">'Staffel C'!$A$1:$AH$33</definedName>
    <definedName name="_xlnm.Print_Area" localSheetId="3">'Staffel D'!$A$1:$AH$33</definedName>
    <definedName name="_xlnm.Print_Area" localSheetId="4">'Staffel E'!$A$1:$AH$33</definedName>
  </definedNames>
  <calcPr fullCalcOnLoad="1"/>
</workbook>
</file>

<file path=xl/sharedStrings.xml><?xml version="1.0" encoding="utf-8"?>
<sst xmlns="http://schemas.openxmlformats.org/spreadsheetml/2006/main" count="620" uniqueCount="190">
  <si>
    <t>Ergebnis-Eingabe</t>
  </si>
  <si>
    <t>Automatische Berechnung</t>
  </si>
  <si>
    <t>Auswertung der Spielergebnisse (Spalten ausblenden!)</t>
  </si>
  <si>
    <t xml:space="preserve">Spiel-Nr. </t>
  </si>
  <si>
    <t>Tag</t>
  </si>
  <si>
    <t>Datum</t>
  </si>
  <si>
    <t>Ergebnis nach Sätzen</t>
  </si>
  <si>
    <t>Ergebnis nach Satzpunkten</t>
  </si>
  <si>
    <t>Punkte</t>
  </si>
  <si>
    <t>Rang</t>
  </si>
  <si>
    <t>Name</t>
  </si>
  <si>
    <t>Anz. Spiele</t>
  </si>
  <si>
    <t>Erzielte Punkte</t>
  </si>
  <si>
    <t>Abgegebene Punkte</t>
  </si>
  <si>
    <t>Gewonnene Sätze</t>
  </si>
  <si>
    <t>Abgegebene Sätze</t>
  </si>
  <si>
    <t>Sätze</t>
  </si>
  <si>
    <t>Erzielte Satzpunkte</t>
  </si>
  <si>
    <t>Abgegebene Satzpunkte</t>
  </si>
  <si>
    <t>Satz-punkte</t>
  </si>
  <si>
    <t>Rang-Hilfswert</t>
  </si>
  <si>
    <t>-</t>
  </si>
  <si>
    <t>Total</t>
  </si>
  <si>
    <t>Mannschaften:</t>
  </si>
  <si>
    <t>Eingaben oder Änderungen nur in den gelben Feldern!</t>
  </si>
  <si>
    <t>Spielpaarungen, Punkte und die aktuelle Tabelle</t>
  </si>
  <si>
    <t>errechnen sich automatisch aus den Eingaben</t>
  </si>
  <si>
    <t>in den gelben Feldern.</t>
  </si>
  <si>
    <t>Keine Zellen verschieben!  Kopieren ist kein Problem.</t>
  </si>
  <si>
    <t>Mo</t>
  </si>
  <si>
    <t>FSB Hildesheim I</t>
  </si>
  <si>
    <t>SSG Algermissen I</t>
  </si>
  <si>
    <t>Do</t>
  </si>
  <si>
    <t>SSG Algermissen II</t>
  </si>
  <si>
    <t>Mi</t>
  </si>
  <si>
    <t>Di</t>
  </si>
  <si>
    <t>SV Wendhausen</t>
  </si>
  <si>
    <t>Eintracht Hildesheim</t>
  </si>
  <si>
    <t>TSV Clauen/ Soßmar</t>
  </si>
  <si>
    <t>FSB Hildesheim II</t>
  </si>
  <si>
    <t>Fr</t>
  </si>
  <si>
    <t xml:space="preserve">          SV Wendhausen verzichtet auf das Heimrecht, stellt aber das Schiedsgericht an den </t>
  </si>
  <si>
    <r>
      <t xml:space="preserve">         </t>
    </r>
    <r>
      <rPr>
        <b/>
        <sz val="11"/>
        <color indexed="11"/>
        <rFont val="Arial"/>
        <family val="2"/>
      </rPr>
      <t xml:space="preserve"> grün markierten</t>
    </r>
    <r>
      <rPr>
        <b/>
        <sz val="11"/>
        <rFont val="Arial"/>
        <family val="2"/>
      </rPr>
      <t xml:space="preserve"> Spieltagen!</t>
    </r>
  </si>
  <si>
    <t>SV Groß Düngen</t>
  </si>
  <si>
    <t>CVJM Sarstedt</t>
  </si>
  <si>
    <t>MTV 48 Hildesheim</t>
  </si>
  <si>
    <t>VfV Hildesheim</t>
  </si>
  <si>
    <t>TSV Sibbesse</t>
  </si>
  <si>
    <t>TuS Holle/ Grasdorf I</t>
  </si>
  <si>
    <t>SV Hildesia Diekholzen I</t>
  </si>
  <si>
    <t>MTV Banteln</t>
  </si>
  <si>
    <t>MTV Bodenburg</t>
  </si>
  <si>
    <t>MTV Bledeln</t>
  </si>
  <si>
    <t>TSV Brunkensen II</t>
  </si>
  <si>
    <t>SV Hildesia Diekholzen II</t>
  </si>
  <si>
    <t>TuS Holle/Grasdorf II</t>
  </si>
  <si>
    <t>S p i e l p l a n  Staffel  A</t>
  </si>
  <si>
    <t>S p i e l p l a n  Staffel  B</t>
  </si>
  <si>
    <t>S p i e l p l a n  Staffel  C</t>
  </si>
  <si>
    <t>S p i e l p l a n  Staffel  D</t>
  </si>
  <si>
    <t>S p i e l p l a n  Staffel  E</t>
  </si>
  <si>
    <t>DJK B-W Hildesheim</t>
  </si>
  <si>
    <t xml:space="preserve"> </t>
  </si>
  <si>
    <t>04.09.2017</t>
  </si>
  <si>
    <t>05.09.2017</t>
  </si>
  <si>
    <t>TSV Brunkensen I</t>
  </si>
  <si>
    <t>28.09.2017</t>
  </si>
  <si>
    <t>23.10.2017</t>
  </si>
  <si>
    <t>26.10.2017</t>
  </si>
  <si>
    <t>07.11.2017</t>
  </si>
  <si>
    <t>22.11.2017</t>
  </si>
  <si>
    <t>23.11.2017</t>
  </si>
  <si>
    <t>07.12.2017</t>
  </si>
  <si>
    <t>14.12.2017</t>
  </si>
  <si>
    <t>16.01.2018</t>
  </si>
  <si>
    <t>06.02.2018</t>
  </si>
  <si>
    <t>07.02.2018</t>
  </si>
  <si>
    <t>22.02.2018</t>
  </si>
  <si>
    <t>15.03.2018</t>
  </si>
  <si>
    <t>05.03.2018</t>
  </si>
  <si>
    <t>25.09.2017</t>
  </si>
  <si>
    <t>29.09.2017</t>
  </si>
  <si>
    <t>24.10.2017</t>
  </si>
  <si>
    <t>03.11.2017</t>
  </si>
  <si>
    <t>20.11.2017</t>
  </si>
  <si>
    <t>15.12.2017</t>
  </si>
  <si>
    <t>15.01.2018</t>
  </si>
  <si>
    <t>05.02.2018</t>
  </si>
  <si>
    <t>19.02.2018</t>
  </si>
  <si>
    <t>09.03.2018</t>
  </si>
  <si>
    <t>08.03.2018</t>
  </si>
  <si>
    <t>VSG Röss/ Nordstemmen</t>
  </si>
  <si>
    <t xml:space="preserve">VfV Hildesheim </t>
  </si>
  <si>
    <t>07.09.2017</t>
  </si>
  <si>
    <t>06.09.2017</t>
  </si>
  <si>
    <t>10.11.2017</t>
  </si>
  <si>
    <t>08.11.2017</t>
  </si>
  <si>
    <t>24.11.2017</t>
  </si>
  <si>
    <t>21.11.2017</t>
  </si>
  <si>
    <t>08.12.2017</t>
  </si>
  <si>
    <t>12.12.2017</t>
  </si>
  <si>
    <t>17.01.2018</t>
  </si>
  <si>
    <t>09.02.2018</t>
  </si>
  <si>
    <t>20.02.2018</t>
  </si>
  <si>
    <t>26.09.2017</t>
  </si>
  <si>
    <t>18.12.2017</t>
  </si>
  <si>
    <t>06.03.2018</t>
  </si>
  <si>
    <t>SG Borsum/Harsum/Achtum</t>
  </si>
  <si>
    <t>TSV Brüggen</t>
  </si>
  <si>
    <t>27.10.2017</t>
  </si>
  <si>
    <t>06.11.2017</t>
  </si>
  <si>
    <t>11.12.2017</t>
  </si>
  <si>
    <t>19.01.2018</t>
  </si>
  <si>
    <t>Pokal 2017/2018</t>
  </si>
  <si>
    <t>Mannschaft I</t>
  </si>
  <si>
    <t>Mannschaft II</t>
  </si>
  <si>
    <t>Spiel 1</t>
  </si>
  <si>
    <t xml:space="preserve">MTV Bodenburg </t>
  </si>
  <si>
    <t>:</t>
  </si>
  <si>
    <t xml:space="preserve">SV Hildesia Diekholzen I </t>
  </si>
  <si>
    <t>Spiel 2</t>
  </si>
  <si>
    <t>TuS Holle Grasdorf</t>
  </si>
  <si>
    <t>SV Groß-Düngen</t>
  </si>
  <si>
    <t>1. Runde</t>
  </si>
  <si>
    <t>Spiel 3</t>
  </si>
  <si>
    <t xml:space="preserve">DJK Blau-Weiß-Hildesheim </t>
  </si>
  <si>
    <t xml:space="preserve">TSV Brunkensen I </t>
  </si>
  <si>
    <t>Zeitraum:</t>
  </si>
  <si>
    <t>Spiel 4</t>
  </si>
  <si>
    <t>bis 11.11.2017</t>
  </si>
  <si>
    <t>Spiel 5</t>
  </si>
  <si>
    <t>Spiel 6</t>
  </si>
  <si>
    <t>Spiel 7</t>
  </si>
  <si>
    <t>2. Runde</t>
  </si>
  <si>
    <t>bis 24.02.18</t>
  </si>
  <si>
    <t>Final Four in Holle</t>
  </si>
  <si>
    <t>Halbfinale</t>
  </si>
  <si>
    <t>Durchführung:</t>
  </si>
  <si>
    <t>Finale</t>
  </si>
  <si>
    <t>Spiel 15 (Sieger 13 gegen Sieger 14)</t>
  </si>
  <si>
    <t>Spielmodus 3 Gewinnsätze, letzter Satz bis 15 mindestens 2 Punkte Vorsprung</t>
  </si>
  <si>
    <t>verlegt</t>
  </si>
  <si>
    <t>12.09.2017</t>
  </si>
  <si>
    <t>11.09.2017</t>
  </si>
  <si>
    <t>Spiel 8</t>
  </si>
  <si>
    <t>Aktuelle Tabelle</t>
  </si>
  <si>
    <t>Ergebnis:</t>
  </si>
  <si>
    <t>3:1 Sätze - 89:72 Pkt.</t>
  </si>
  <si>
    <t>FSV Hildesheim II</t>
  </si>
  <si>
    <t>2:3 Sätze - 101:100 Pkt.</t>
  </si>
  <si>
    <t>1:3 Sätze - 68:88 Pkt.</t>
  </si>
  <si>
    <t xml:space="preserve">VSG Rössing-Nordstemmen </t>
  </si>
  <si>
    <t>20.10.2017</t>
  </si>
  <si>
    <t>3:2 Sätze - 112:104 Pkt.</t>
  </si>
  <si>
    <t xml:space="preserve"> 03.11.2017</t>
  </si>
  <si>
    <t>1:3 Sätze - 65:99 Pkt.</t>
  </si>
  <si>
    <t>2:3 Sätze - 99:101 Pkt.</t>
  </si>
  <si>
    <t>0:3 Sätze - 27:75 Pkt.</t>
  </si>
  <si>
    <t>17.11.2017</t>
  </si>
  <si>
    <t>Schiedsgericht</t>
  </si>
  <si>
    <t>3:1 Sätze</t>
  </si>
  <si>
    <t xml:space="preserve">Spiel 9 </t>
  </si>
  <si>
    <t>Mo. 22.01.2018 - 20 Uhr</t>
  </si>
  <si>
    <t>Spiel 12</t>
  </si>
  <si>
    <t>Di. 23.01.2018 - 19:45 Uhr</t>
  </si>
  <si>
    <t>Spiel 10</t>
  </si>
  <si>
    <t>Spiel 11</t>
  </si>
  <si>
    <t>23.01.2018</t>
  </si>
  <si>
    <t>26.01.2018</t>
  </si>
  <si>
    <t>08.01.2018</t>
  </si>
  <si>
    <t>3:2 Sätze - 98:83 Pkt.</t>
  </si>
  <si>
    <t>1:3 Sätze - 74:98 Pkt</t>
  </si>
  <si>
    <t>15.02.2018</t>
  </si>
  <si>
    <t>27.02.2018</t>
  </si>
  <si>
    <t>12.03.2018</t>
  </si>
  <si>
    <t>2:3 Sätze - 98-103 Pkt.</t>
  </si>
  <si>
    <t>Mo. 26.02.2018 - 19:30 Uhr</t>
  </si>
  <si>
    <t>07.03.2018</t>
  </si>
  <si>
    <t xml:space="preserve">3:0 Sätze - 76:66 Pkt. </t>
  </si>
  <si>
    <t>Mi. 14.02.2018</t>
  </si>
  <si>
    <t>Spiel 13</t>
  </si>
  <si>
    <t>Spiel 14</t>
  </si>
  <si>
    <t>22.03.2018</t>
  </si>
  <si>
    <t>23.03.2018</t>
  </si>
  <si>
    <t>16.03.2018</t>
  </si>
  <si>
    <t>06.04.2018</t>
  </si>
  <si>
    <t>ab 18:30 Uhr</t>
  </si>
  <si>
    <t>TuS Holle/Grasdorf</t>
  </si>
  <si>
    <t xml:space="preserve">vom </t>
  </si>
  <si>
    <t>20..04.2018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</si>
</sst>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2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b/>
      <sz val="7"/>
      <color indexed="17"/>
      <name val="Arial"/>
      <family val="2"/>
    </font>
    <font>
      <b/>
      <sz val="12"/>
      <color indexed="17"/>
      <name val="Arial"/>
      <family val="2"/>
    </font>
    <font>
      <b/>
      <sz val="12"/>
      <color indexed="58"/>
      <name val="Arial"/>
      <family val="2"/>
    </font>
    <font>
      <b/>
      <sz val="12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9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22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b/>
      <sz val="9"/>
      <color indexed="55"/>
      <name val="Arial"/>
      <family val="2"/>
    </font>
    <font>
      <sz val="12"/>
      <color indexed="55"/>
      <name val="Arial"/>
      <family val="2"/>
    </font>
    <font>
      <sz val="9"/>
      <color indexed="55"/>
      <name val="Arial"/>
      <family val="2"/>
    </font>
    <font>
      <b/>
      <sz val="11"/>
      <name val="Arial"/>
      <family val="2"/>
    </font>
    <font>
      <b/>
      <sz val="11"/>
      <color indexed="11"/>
      <name val="Arial"/>
      <family val="2"/>
    </font>
    <font>
      <b/>
      <u val="single"/>
      <sz val="8"/>
      <name val="Arial"/>
      <family val="2"/>
    </font>
    <font>
      <sz val="8"/>
      <color indexed="22"/>
      <name val="Arial"/>
      <family val="2"/>
    </font>
    <font>
      <b/>
      <sz val="11"/>
      <color indexed="18"/>
      <name val="Arial"/>
      <family val="2"/>
    </font>
    <font>
      <b/>
      <sz val="7"/>
      <name val="Arial"/>
      <family val="2"/>
    </font>
    <font>
      <b/>
      <u val="single"/>
      <sz val="7"/>
      <name val="Arial"/>
      <family val="2"/>
    </font>
    <font>
      <b/>
      <sz val="8"/>
      <color indexed="17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23"/>
      <name val="Arial"/>
      <family val="2"/>
    </font>
    <font>
      <b/>
      <sz val="9"/>
      <color indexed="23"/>
      <name val="Arial"/>
      <family val="2"/>
    </font>
    <font>
      <b/>
      <sz val="11"/>
      <color indexed="10"/>
      <name val="Arial"/>
      <family val="2"/>
    </font>
    <font>
      <sz val="9"/>
      <name val="Verdana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  <font>
      <sz val="12"/>
      <color theme="1"/>
      <name val="Arial"/>
      <family val="2"/>
    </font>
    <font>
      <b/>
      <u val="single"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rgb="FFFF0000"/>
      <name val="Arial"/>
      <family val="2"/>
    </font>
    <font>
      <b/>
      <sz val="8"/>
      <color theme="1" tint="0.49998000264167786"/>
      <name val="Arial"/>
      <family val="2"/>
    </font>
    <font>
      <b/>
      <sz val="9"/>
      <color theme="1" tint="0.49998000264167786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dotted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dotted"/>
      <right style="double"/>
      <top style="thin"/>
      <bottom style="thin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6" borderId="2" applyNumberFormat="0" applyAlignment="0" applyProtection="0"/>
    <xf numFmtId="0" fontId="6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7" fillId="27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3" fillId="31" borderId="0" applyNumberFormat="0" applyBorder="0" applyAlignment="0" applyProtection="0"/>
    <xf numFmtId="0" fontId="62" fillId="0" borderId="0">
      <alignment/>
      <protection/>
    </xf>
    <xf numFmtId="0" fontId="74" fillId="0" borderId="0" applyNumberForma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32" borderId="9" applyNumberFormat="0" applyAlignment="0" applyProtection="0"/>
  </cellStyleXfs>
  <cellXfs count="19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6" fillId="0" borderId="10" xfId="0" applyNumberFormat="1" applyFont="1" applyFill="1" applyBorder="1" applyAlignment="1">
      <alignment vertical="center"/>
    </xf>
    <xf numFmtId="0" fontId="4" fillId="0" borderId="11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/>
    </xf>
    <xf numFmtId="0" fontId="11" fillId="0" borderId="0" xfId="0" applyNumberFormat="1" applyFont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center"/>
    </xf>
    <xf numFmtId="0" fontId="11" fillId="34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4" fillId="0" borderId="0" xfId="0" applyNumberFormat="1" applyFont="1" applyAlignment="1">
      <alignment/>
    </xf>
    <xf numFmtId="0" fontId="14" fillId="33" borderId="14" xfId="0" applyNumberFormat="1" applyFont="1" applyFill="1" applyBorder="1" applyAlignment="1">
      <alignment horizontal="center"/>
    </xf>
    <xf numFmtId="0" fontId="14" fillId="33" borderId="15" xfId="0" applyNumberFormat="1" applyFont="1" applyFill="1" applyBorder="1" applyAlignment="1">
      <alignment horizontal="center"/>
    </xf>
    <xf numFmtId="0" fontId="16" fillId="0" borderId="0" xfId="0" applyNumberFormat="1" applyFont="1" applyAlignment="1">
      <alignment horizontal="center"/>
    </xf>
    <xf numFmtId="0" fontId="17" fillId="33" borderId="12" xfId="0" applyNumberFormat="1" applyFont="1" applyFill="1" applyBorder="1" applyAlignment="1">
      <alignment horizontal="center"/>
    </xf>
    <xf numFmtId="0" fontId="17" fillId="33" borderId="12" xfId="0" applyNumberFormat="1" applyFont="1" applyFill="1" applyBorder="1" applyAlignment="1">
      <alignment/>
    </xf>
    <xf numFmtId="0" fontId="9" fillId="33" borderId="13" xfId="0" applyNumberFormat="1" applyFont="1" applyFill="1" applyBorder="1" applyAlignment="1">
      <alignment horizontal="center"/>
    </xf>
    <xf numFmtId="0" fontId="9" fillId="33" borderId="12" xfId="0" applyNumberFormat="1" applyFont="1" applyFill="1" applyBorder="1" applyAlignment="1">
      <alignment horizontal="center"/>
    </xf>
    <xf numFmtId="0" fontId="18" fillId="33" borderId="12" xfId="0" applyNumberFormat="1" applyFont="1" applyFill="1" applyBorder="1" applyAlignment="1">
      <alignment horizontal="center"/>
    </xf>
    <xf numFmtId="0" fontId="14" fillId="34" borderId="12" xfId="0" applyNumberFormat="1" applyFont="1" applyFill="1" applyBorder="1" applyAlignment="1">
      <alignment horizontal="center"/>
    </xf>
    <xf numFmtId="0" fontId="14" fillId="34" borderId="12" xfId="0" applyNumberFormat="1" applyFont="1" applyFill="1" applyBorder="1" applyAlignment="1">
      <alignment/>
    </xf>
    <xf numFmtId="0" fontId="14" fillId="35" borderId="14" xfId="0" applyNumberFormat="1" applyFont="1" applyFill="1" applyBorder="1" applyAlignment="1">
      <alignment horizontal="center"/>
    </xf>
    <xf numFmtId="0" fontId="14" fillId="35" borderId="15" xfId="0" applyNumberFormat="1" applyFont="1" applyFill="1" applyBorder="1" applyAlignment="1">
      <alignment horizontal="center"/>
    </xf>
    <xf numFmtId="0" fontId="16" fillId="35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 horizontal="center"/>
    </xf>
    <xf numFmtId="0" fontId="17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9" fillId="0" borderId="0" xfId="0" applyNumberFormat="1" applyFont="1" applyFill="1" applyBorder="1" applyAlignment="1">
      <alignment horizontal="center"/>
    </xf>
    <xf numFmtId="0" fontId="20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21" fillId="0" borderId="0" xfId="0" applyNumberFormat="1" applyFont="1" applyAlignment="1">
      <alignment/>
    </xf>
    <xf numFmtId="0" fontId="22" fillId="0" borderId="0" xfId="0" applyNumberFormat="1" applyFont="1" applyAlignment="1">
      <alignment/>
    </xf>
    <xf numFmtId="0" fontId="23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4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0" fillId="0" borderId="0" xfId="0" applyNumberFormat="1" applyFont="1" applyAlignment="1">
      <alignment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15" fillId="36" borderId="14" xfId="0" applyFont="1" applyFill="1" applyBorder="1" applyAlignment="1">
      <alignment/>
    </xf>
    <xf numFmtId="0" fontId="17" fillId="36" borderId="10" xfId="0" applyFont="1" applyFill="1" applyBorder="1" applyAlignment="1">
      <alignment/>
    </xf>
    <xf numFmtId="0" fontId="17" fillId="36" borderId="13" xfId="0" applyFont="1" applyFill="1" applyBorder="1" applyAlignment="1">
      <alignment/>
    </xf>
    <xf numFmtId="0" fontId="14" fillId="37" borderId="12" xfId="0" applyFont="1" applyFill="1" applyBorder="1" applyAlignment="1">
      <alignment/>
    </xf>
    <xf numFmtId="0" fontId="14" fillId="37" borderId="16" xfId="0" applyNumberFormat="1" applyFont="1" applyFill="1" applyBorder="1" applyAlignment="1">
      <alignment/>
    </xf>
    <xf numFmtId="0" fontId="14" fillId="37" borderId="17" xfId="0" applyNumberFormat="1" applyFont="1" applyFill="1" applyBorder="1" applyAlignment="1">
      <alignment/>
    </xf>
    <xf numFmtId="0" fontId="14" fillId="37" borderId="18" xfId="0" applyNumberFormat="1" applyFont="1" applyFill="1" applyBorder="1" applyAlignment="1">
      <alignment/>
    </xf>
    <xf numFmtId="0" fontId="17" fillId="0" borderId="17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4" fillId="37" borderId="11" xfId="0" applyNumberFormat="1" applyFont="1" applyFill="1" applyBorder="1" applyAlignment="1">
      <alignment/>
    </xf>
    <xf numFmtId="0" fontId="14" fillId="37" borderId="0" xfId="0" applyNumberFormat="1" applyFont="1" applyFill="1" applyBorder="1" applyAlignment="1">
      <alignment/>
    </xf>
    <xf numFmtId="0" fontId="14" fillId="37" borderId="19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4" fillId="37" borderId="20" xfId="0" applyNumberFormat="1" applyFont="1" applyFill="1" applyBorder="1" applyAlignment="1">
      <alignment/>
    </xf>
    <xf numFmtId="0" fontId="14" fillId="37" borderId="21" xfId="0" applyNumberFormat="1" applyFont="1" applyFill="1" applyBorder="1" applyAlignment="1">
      <alignment/>
    </xf>
    <xf numFmtId="0" fontId="14" fillId="37" borderId="22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20" fillId="0" borderId="0" xfId="0" applyNumberFormat="1" applyFont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3" xfId="0" applyFont="1" applyBorder="1" applyAlignment="1">
      <alignment vertical="center" wrapText="1"/>
    </xf>
    <xf numFmtId="0" fontId="17" fillId="0" borderId="14" xfId="0" applyFont="1" applyBorder="1" applyAlignment="1">
      <alignment horizontal="center"/>
    </xf>
    <xf numFmtId="0" fontId="17" fillId="0" borderId="12" xfId="0" applyFont="1" applyBorder="1" applyAlignment="1">
      <alignment/>
    </xf>
    <xf numFmtId="49" fontId="17" fillId="0" borderId="12" xfId="0" applyNumberFormat="1" applyFont="1" applyBorder="1" applyAlignment="1">
      <alignment horizontal="center"/>
    </xf>
    <xf numFmtId="0" fontId="17" fillId="0" borderId="12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37" borderId="14" xfId="0" applyNumberFormat="1" applyFont="1" applyFill="1" applyBorder="1" applyAlignment="1">
      <alignment horizontal="center"/>
    </xf>
    <xf numFmtId="0" fontId="17" fillId="37" borderId="23" xfId="0" applyNumberFormat="1" applyFont="1" applyFill="1" applyBorder="1" applyAlignment="1">
      <alignment horizontal="center"/>
    </xf>
    <xf numFmtId="0" fontId="17" fillId="37" borderId="24" xfId="0" applyNumberFormat="1" applyFont="1" applyFill="1" applyBorder="1" applyAlignment="1">
      <alignment horizontal="center"/>
    </xf>
    <xf numFmtId="0" fontId="17" fillId="37" borderId="15" xfId="0" applyNumberFormat="1" applyFont="1" applyFill="1" applyBorder="1" applyAlignment="1">
      <alignment horizontal="center"/>
    </xf>
    <xf numFmtId="0" fontId="17" fillId="35" borderId="14" xfId="0" applyNumberFormat="1" applyFont="1" applyFill="1" applyBorder="1" applyAlignment="1">
      <alignment horizontal="center"/>
    </xf>
    <xf numFmtId="0" fontId="17" fillId="35" borderId="23" xfId="0" applyNumberFormat="1" applyFont="1" applyFill="1" applyBorder="1" applyAlignment="1">
      <alignment horizontal="center"/>
    </xf>
    <xf numFmtId="0" fontId="17" fillId="35" borderId="24" xfId="0" applyNumberFormat="1" applyFont="1" applyFill="1" applyBorder="1" applyAlignment="1">
      <alignment horizontal="center"/>
    </xf>
    <xf numFmtId="0" fontId="17" fillId="35" borderId="15" xfId="0" applyNumberFormat="1" applyFont="1" applyFill="1" applyBorder="1" applyAlignment="1">
      <alignment horizontal="center"/>
    </xf>
    <xf numFmtId="0" fontId="17" fillId="35" borderId="11" xfId="0" applyFont="1" applyFill="1" applyBorder="1" applyAlignment="1">
      <alignment/>
    </xf>
    <xf numFmtId="0" fontId="17" fillId="35" borderId="12" xfId="0" applyFont="1" applyFill="1" applyBorder="1" applyAlignment="1">
      <alignment/>
    </xf>
    <xf numFmtId="0" fontId="17" fillId="35" borderId="0" xfId="0" applyFont="1" applyFill="1" applyAlignment="1">
      <alignment/>
    </xf>
    <xf numFmtId="0" fontId="20" fillId="0" borderId="0" xfId="0" applyNumberFormat="1" applyFont="1" applyAlignment="1">
      <alignment horizontal="center"/>
    </xf>
    <xf numFmtId="0" fontId="27" fillId="34" borderId="12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Alignment="1">
      <alignment/>
    </xf>
    <xf numFmtId="0" fontId="28" fillId="0" borderId="0" xfId="0" applyNumberFormat="1" applyFont="1" applyFill="1" applyBorder="1" applyAlignment="1">
      <alignment horizontal="center"/>
    </xf>
    <xf numFmtId="0" fontId="17" fillId="37" borderId="16" xfId="0" applyNumberFormat="1" applyFont="1" applyFill="1" applyBorder="1" applyAlignment="1">
      <alignment/>
    </xf>
    <xf numFmtId="0" fontId="17" fillId="37" borderId="17" xfId="0" applyNumberFormat="1" applyFont="1" applyFill="1" applyBorder="1" applyAlignment="1">
      <alignment/>
    </xf>
    <xf numFmtId="0" fontId="17" fillId="37" borderId="18" xfId="0" applyNumberFormat="1" applyFont="1" applyFill="1" applyBorder="1" applyAlignment="1">
      <alignment/>
    </xf>
    <xf numFmtId="0" fontId="17" fillId="37" borderId="11" xfId="0" applyNumberFormat="1" applyFont="1" applyFill="1" applyBorder="1" applyAlignment="1">
      <alignment/>
    </xf>
    <xf numFmtId="0" fontId="17" fillId="37" borderId="0" xfId="0" applyNumberFormat="1" applyFont="1" applyFill="1" applyBorder="1" applyAlignment="1">
      <alignment/>
    </xf>
    <xf numFmtId="0" fontId="17" fillId="37" borderId="19" xfId="0" applyNumberFormat="1" applyFont="1" applyFill="1" applyBorder="1" applyAlignment="1">
      <alignment/>
    </xf>
    <xf numFmtId="0" fontId="17" fillId="37" borderId="20" xfId="0" applyNumberFormat="1" applyFont="1" applyFill="1" applyBorder="1" applyAlignment="1">
      <alignment/>
    </xf>
    <xf numFmtId="0" fontId="17" fillId="37" borderId="21" xfId="0" applyNumberFormat="1" applyFont="1" applyFill="1" applyBorder="1" applyAlignment="1">
      <alignment/>
    </xf>
    <xf numFmtId="0" fontId="17" fillId="37" borderId="22" xfId="0" applyNumberFormat="1" applyFont="1" applyFill="1" applyBorder="1" applyAlignment="1">
      <alignment/>
    </xf>
    <xf numFmtId="0" fontId="31" fillId="34" borderId="12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/>
    </xf>
    <xf numFmtId="0" fontId="30" fillId="0" borderId="12" xfId="0" applyFont="1" applyBorder="1" applyAlignment="1">
      <alignment/>
    </xf>
    <xf numFmtId="0" fontId="82" fillId="0" borderId="0" xfId="53" applyFont="1">
      <alignment/>
      <protection/>
    </xf>
    <xf numFmtId="0" fontId="83" fillId="0" borderId="0" xfId="53" applyFont="1">
      <alignment/>
      <protection/>
    </xf>
    <xf numFmtId="0" fontId="84" fillId="0" borderId="0" xfId="53" applyFont="1">
      <alignment/>
      <protection/>
    </xf>
    <xf numFmtId="0" fontId="84" fillId="0" borderId="0" xfId="53" applyFont="1" applyAlignment="1">
      <alignment horizontal="left"/>
      <protection/>
    </xf>
    <xf numFmtId="0" fontId="85" fillId="0" borderId="0" xfId="53" applyFont="1">
      <alignment/>
      <protection/>
    </xf>
    <xf numFmtId="0" fontId="85" fillId="0" borderId="0" xfId="53" applyFont="1" applyAlignment="1">
      <alignment horizontal="left"/>
      <protection/>
    </xf>
    <xf numFmtId="0" fontId="84" fillId="0" borderId="25" xfId="53" applyFont="1" applyBorder="1">
      <alignment/>
      <protection/>
    </xf>
    <xf numFmtId="0" fontId="84" fillId="0" borderId="12" xfId="53" applyFont="1" applyBorder="1">
      <alignment/>
      <protection/>
    </xf>
    <xf numFmtId="0" fontId="85" fillId="0" borderId="12" xfId="53" applyFont="1" applyBorder="1" applyAlignment="1">
      <alignment horizontal="center"/>
      <protection/>
    </xf>
    <xf numFmtId="0" fontId="84" fillId="0" borderId="12" xfId="53" applyFont="1" applyBorder="1" applyAlignment="1">
      <alignment horizontal="left"/>
      <protection/>
    </xf>
    <xf numFmtId="0" fontId="84" fillId="0" borderId="26" xfId="53" applyFont="1" applyBorder="1">
      <alignment/>
      <protection/>
    </xf>
    <xf numFmtId="0" fontId="83" fillId="0" borderId="26" xfId="53" applyFont="1" applyBorder="1" applyAlignment="1">
      <alignment horizontal="center"/>
      <protection/>
    </xf>
    <xf numFmtId="0" fontId="85" fillId="0" borderId="26" xfId="53" applyFont="1" applyBorder="1" applyAlignment="1">
      <alignment horizontal="center"/>
      <protection/>
    </xf>
    <xf numFmtId="0" fontId="85" fillId="0" borderId="26" xfId="53" applyFont="1" applyBorder="1">
      <alignment/>
      <protection/>
    </xf>
    <xf numFmtId="0" fontId="85" fillId="0" borderId="27" xfId="53" applyFont="1" applyBorder="1">
      <alignment/>
      <protection/>
    </xf>
    <xf numFmtId="0" fontId="83" fillId="0" borderId="25" xfId="53" applyFont="1" applyBorder="1" applyAlignment="1">
      <alignment horizontal="center"/>
      <protection/>
    </xf>
    <xf numFmtId="0" fontId="85" fillId="0" borderId="27" xfId="53" applyFont="1" applyBorder="1" applyAlignment="1">
      <alignment horizontal="center"/>
      <protection/>
    </xf>
    <xf numFmtId="0" fontId="83" fillId="0" borderId="16" xfId="53" applyFont="1" applyBorder="1" applyAlignment="1">
      <alignment horizontal="center"/>
      <protection/>
    </xf>
    <xf numFmtId="0" fontId="85" fillId="0" borderId="12" xfId="53" applyFont="1" applyBorder="1">
      <alignment/>
      <protection/>
    </xf>
    <xf numFmtId="0" fontId="85" fillId="0" borderId="11" xfId="53" applyFont="1" applyBorder="1" applyAlignment="1">
      <alignment horizontal="center"/>
      <protection/>
    </xf>
    <xf numFmtId="49" fontId="85" fillId="0" borderId="20" xfId="53" applyNumberFormat="1" applyFont="1" applyBorder="1" applyAlignment="1">
      <alignment horizontal="center"/>
      <protection/>
    </xf>
    <xf numFmtId="0" fontId="17" fillId="34" borderId="12" xfId="0" applyNumberFormat="1" applyFont="1" applyFill="1" applyBorder="1" applyAlignment="1">
      <alignment horizontal="center"/>
    </xf>
    <xf numFmtId="0" fontId="30" fillId="34" borderId="12" xfId="0" applyNumberFormat="1" applyFont="1" applyFill="1" applyBorder="1" applyAlignment="1">
      <alignment/>
    </xf>
    <xf numFmtId="0" fontId="30" fillId="0" borderId="12" xfId="0" applyFont="1" applyBorder="1" applyAlignment="1">
      <alignment horizontal="center"/>
    </xf>
    <xf numFmtId="0" fontId="30" fillId="35" borderId="12" xfId="0" applyFont="1" applyFill="1" applyBorder="1" applyAlignment="1">
      <alignment/>
    </xf>
    <xf numFmtId="0" fontId="86" fillId="0" borderId="0" xfId="53" applyFont="1" applyAlignment="1">
      <alignment horizontal="center"/>
      <protection/>
    </xf>
    <xf numFmtId="0" fontId="87" fillId="0" borderId="13" xfId="53" applyFont="1" applyBorder="1" applyAlignment="1">
      <alignment horizontal="center"/>
      <protection/>
    </xf>
    <xf numFmtId="0" fontId="88" fillId="0" borderId="12" xfId="53" applyFont="1" applyBorder="1" applyAlignment="1">
      <alignment horizontal="center"/>
      <protection/>
    </xf>
    <xf numFmtId="0" fontId="88" fillId="0" borderId="12" xfId="53" applyFont="1" applyFill="1" applyBorder="1" applyAlignment="1">
      <alignment horizontal="center"/>
      <protection/>
    </xf>
    <xf numFmtId="0" fontId="87" fillId="0" borderId="12" xfId="53" applyFont="1" applyBorder="1" applyAlignment="1">
      <alignment horizontal="center"/>
      <protection/>
    </xf>
    <xf numFmtId="14" fontId="87" fillId="0" borderId="12" xfId="53" applyNumberFormat="1" applyFont="1" applyBorder="1" applyAlignment="1">
      <alignment horizontal="center"/>
      <protection/>
    </xf>
    <xf numFmtId="0" fontId="87" fillId="38" borderId="12" xfId="53" applyFont="1" applyFill="1" applyBorder="1" applyAlignment="1">
      <alignment horizontal="center"/>
      <protection/>
    </xf>
    <xf numFmtId="14" fontId="87" fillId="0" borderId="12" xfId="53" applyNumberFormat="1" applyFont="1" applyBorder="1" applyAlignment="1">
      <alignment horizontal="center" vertical="center"/>
      <protection/>
    </xf>
    <xf numFmtId="0" fontId="87" fillId="0" borderId="12" xfId="53" applyFont="1" applyFill="1" applyBorder="1" applyAlignment="1">
      <alignment horizontal="center"/>
      <protection/>
    </xf>
    <xf numFmtId="0" fontId="85" fillId="0" borderId="0" xfId="53" applyFont="1" applyAlignment="1">
      <alignment horizontal="center"/>
      <protection/>
    </xf>
    <xf numFmtId="0" fontId="87" fillId="0" borderId="13" xfId="53" applyFont="1" applyBorder="1" applyAlignment="1">
      <alignment horizontal="center"/>
      <protection/>
    </xf>
    <xf numFmtId="0" fontId="87" fillId="0" borderId="14" xfId="53" applyFont="1" applyBorder="1" applyAlignment="1">
      <alignment horizontal="center"/>
      <protection/>
    </xf>
    <xf numFmtId="0" fontId="87" fillId="0" borderId="13" xfId="53" applyFont="1" applyBorder="1" applyAlignment="1">
      <alignment horizontal="center"/>
      <protection/>
    </xf>
    <xf numFmtId="0" fontId="87" fillId="0" borderId="0" xfId="53" applyFont="1" applyAlignment="1">
      <alignment horizontal="center"/>
      <protection/>
    </xf>
    <xf numFmtId="14" fontId="89" fillId="0" borderId="11" xfId="53" applyNumberFormat="1" applyFont="1" applyBorder="1" applyAlignment="1">
      <alignment horizontal="center"/>
      <protection/>
    </xf>
    <xf numFmtId="49" fontId="89" fillId="0" borderId="20" xfId="53" applyNumberFormat="1" applyFont="1" applyBorder="1" applyAlignment="1">
      <alignment horizontal="center"/>
      <protection/>
    </xf>
    <xf numFmtId="0" fontId="90" fillId="39" borderId="12" xfId="0" applyFont="1" applyFill="1" applyBorder="1" applyAlignment="1">
      <alignment/>
    </xf>
    <xf numFmtId="49" fontId="90" fillId="39" borderId="12" xfId="0" applyNumberFormat="1" applyFont="1" applyFill="1" applyBorder="1" applyAlignment="1">
      <alignment horizontal="center"/>
    </xf>
    <xf numFmtId="0" fontId="90" fillId="39" borderId="12" xfId="0" applyFont="1" applyFill="1" applyBorder="1" applyAlignment="1">
      <alignment/>
    </xf>
    <xf numFmtId="0" fontId="90" fillId="39" borderId="12" xfId="0" applyFont="1" applyFill="1" applyBorder="1" applyAlignment="1">
      <alignment horizontal="center"/>
    </xf>
    <xf numFmtId="0" fontId="90" fillId="39" borderId="14" xfId="0" applyNumberFormat="1" applyFont="1" applyFill="1" applyBorder="1" applyAlignment="1">
      <alignment horizontal="center"/>
    </xf>
    <xf numFmtId="0" fontId="90" fillId="39" borderId="23" xfId="0" applyNumberFormat="1" applyFont="1" applyFill="1" applyBorder="1" applyAlignment="1">
      <alignment horizontal="center"/>
    </xf>
    <xf numFmtId="0" fontId="90" fillId="39" borderId="24" xfId="0" applyNumberFormat="1" applyFont="1" applyFill="1" applyBorder="1" applyAlignment="1">
      <alignment horizontal="center"/>
    </xf>
    <xf numFmtId="0" fontId="90" fillId="39" borderId="15" xfId="0" applyNumberFormat="1" applyFont="1" applyFill="1" applyBorder="1" applyAlignment="1">
      <alignment horizontal="center"/>
    </xf>
    <xf numFmtId="0" fontId="91" fillId="39" borderId="0" xfId="0" applyNumberFormat="1" applyFont="1" applyFill="1" applyAlignment="1">
      <alignment horizontal="center"/>
    </xf>
    <xf numFmtId="0" fontId="91" fillId="39" borderId="14" xfId="0" applyNumberFormat="1" applyFont="1" applyFill="1" applyBorder="1" applyAlignment="1">
      <alignment horizontal="center"/>
    </xf>
    <xf numFmtId="0" fontId="91" fillId="39" borderId="15" xfId="0" applyNumberFormat="1" applyFont="1" applyFill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7" fillId="39" borderId="14" xfId="0" applyNumberFormat="1" applyFont="1" applyFill="1" applyBorder="1" applyAlignment="1">
      <alignment horizontal="center"/>
    </xf>
    <xf numFmtId="0" fontId="17" fillId="39" borderId="23" xfId="0" applyNumberFormat="1" applyFont="1" applyFill="1" applyBorder="1" applyAlignment="1">
      <alignment horizontal="center"/>
    </xf>
    <xf numFmtId="0" fontId="17" fillId="39" borderId="24" xfId="0" applyNumberFormat="1" applyFont="1" applyFill="1" applyBorder="1" applyAlignment="1">
      <alignment horizontal="center"/>
    </xf>
    <xf numFmtId="0" fontId="17" fillId="39" borderId="15" xfId="0" applyNumberFormat="1" applyFont="1" applyFill="1" applyBorder="1" applyAlignment="1">
      <alignment horizontal="center"/>
    </xf>
    <xf numFmtId="0" fontId="16" fillId="39" borderId="0" xfId="0" applyNumberFormat="1" applyFont="1" applyFill="1" applyAlignment="1">
      <alignment horizontal="center"/>
    </xf>
    <xf numFmtId="0" fontId="14" fillId="39" borderId="14" xfId="0" applyNumberFormat="1" applyFont="1" applyFill="1" applyBorder="1" applyAlignment="1">
      <alignment horizontal="center"/>
    </xf>
    <xf numFmtId="0" fontId="14" fillId="39" borderId="15" xfId="0" applyNumberFormat="1" applyFont="1" applyFill="1" applyBorder="1" applyAlignment="1">
      <alignment horizontal="center"/>
    </xf>
    <xf numFmtId="0" fontId="91" fillId="39" borderId="0" xfId="0" applyNumberFormat="1" applyFont="1" applyFill="1" applyAlignment="1">
      <alignment/>
    </xf>
    <xf numFmtId="0" fontId="91" fillId="39" borderId="12" xfId="0" applyNumberFormat="1" applyFont="1" applyFill="1" applyBorder="1" applyAlignment="1">
      <alignment horizontal="center"/>
    </xf>
    <xf numFmtId="0" fontId="91" fillId="39" borderId="12" xfId="0" applyNumberFormat="1" applyFont="1" applyFill="1" applyBorder="1" applyAlignment="1">
      <alignment/>
    </xf>
    <xf numFmtId="0" fontId="43" fillId="0" borderId="0" xfId="0" applyFont="1" applyAlignment="1">
      <alignment vertical="center"/>
    </xf>
    <xf numFmtId="0" fontId="43" fillId="0" borderId="12" xfId="0" applyFont="1" applyBorder="1" applyAlignment="1">
      <alignment horizontal="center"/>
    </xf>
    <xf numFmtId="0" fontId="84" fillId="0" borderId="12" xfId="53" applyFont="1" applyBorder="1" applyAlignment="1">
      <alignment horizontal="center"/>
      <protection/>
    </xf>
    <xf numFmtId="0" fontId="7" fillId="40" borderId="14" xfId="0" applyNumberFormat="1" applyFont="1" applyFill="1" applyBorder="1" applyAlignment="1">
      <alignment horizontal="center" vertical="center"/>
    </xf>
    <xf numFmtId="0" fontId="7" fillId="40" borderId="10" xfId="0" applyNumberFormat="1" applyFont="1" applyFill="1" applyBorder="1" applyAlignment="1">
      <alignment horizontal="center" vertical="center"/>
    </xf>
    <xf numFmtId="0" fontId="7" fillId="40" borderId="13" xfId="0" applyNumberFormat="1" applyFont="1" applyFill="1" applyBorder="1" applyAlignment="1">
      <alignment horizontal="center" vertical="center"/>
    </xf>
    <xf numFmtId="0" fontId="8" fillId="41" borderId="14" xfId="0" applyNumberFormat="1" applyFont="1" applyFill="1" applyBorder="1" applyAlignment="1">
      <alignment horizontal="center" vertical="center"/>
    </xf>
    <xf numFmtId="0" fontId="8" fillId="41" borderId="10" xfId="0" applyNumberFormat="1" applyFont="1" applyFill="1" applyBorder="1" applyAlignment="1">
      <alignment horizontal="center" vertical="center"/>
    </xf>
    <xf numFmtId="0" fontId="8" fillId="41" borderId="13" xfId="0" applyNumberFormat="1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7" borderId="14" xfId="0" applyNumberFormat="1" applyFont="1" applyFill="1" applyBorder="1" applyAlignment="1">
      <alignment horizontal="center" vertical="center" wrapText="1"/>
    </xf>
    <xf numFmtId="0" fontId="27" fillId="37" borderId="10" xfId="0" applyNumberFormat="1" applyFont="1" applyFill="1" applyBorder="1" applyAlignment="1">
      <alignment horizontal="center" vertical="center" wrapText="1"/>
    </xf>
    <xf numFmtId="0" fontId="27" fillId="37" borderId="24" xfId="0" applyNumberFormat="1" applyFont="1" applyFill="1" applyBorder="1" applyAlignment="1">
      <alignment horizontal="center" vertical="center" wrapText="1"/>
    </xf>
    <xf numFmtId="0" fontId="27" fillId="37" borderId="13" xfId="0" applyNumberFormat="1" applyFont="1" applyFill="1" applyBorder="1" applyAlignment="1">
      <alignment horizontal="center" vertical="center" wrapText="1"/>
    </xf>
    <xf numFmtId="0" fontId="11" fillId="33" borderId="20" xfId="0" applyNumberFormat="1" applyFont="1" applyFill="1" applyBorder="1" applyAlignment="1">
      <alignment horizontal="center" vertical="center" wrapText="1"/>
    </xf>
    <xf numFmtId="0" fontId="11" fillId="33" borderId="22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36" borderId="14" xfId="0" applyNumberFormat="1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5" fillId="36" borderId="14" xfId="0" applyNumberFormat="1" applyFont="1" applyFill="1" applyBorder="1" applyAlignment="1">
      <alignment horizontal="center" vertical="center" wrapText="1"/>
    </xf>
    <xf numFmtId="0" fontId="5" fillId="36" borderId="13" xfId="0" applyNumberFormat="1" applyFont="1" applyFill="1" applyBorder="1" applyAlignment="1">
      <alignment horizontal="center" vertical="center" wrapText="1"/>
    </xf>
    <xf numFmtId="0" fontId="29" fillId="41" borderId="14" xfId="0" applyNumberFormat="1" applyFont="1" applyFill="1" applyBorder="1" applyAlignment="1">
      <alignment horizontal="center" vertical="center"/>
    </xf>
    <xf numFmtId="0" fontId="29" fillId="41" borderId="10" xfId="0" applyNumberFormat="1" applyFont="1" applyFill="1" applyBorder="1" applyAlignment="1">
      <alignment horizontal="center" vertical="center"/>
    </xf>
    <xf numFmtId="0" fontId="29" fillId="41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AD21" sqref="AD21"/>
    </sheetView>
  </sheetViews>
  <sheetFormatPr defaultColWidth="11.421875" defaultRowHeight="12.75"/>
  <cols>
    <col min="1" max="1" width="5.57421875" style="49" customWidth="1"/>
    <col min="2" max="2" width="3.7109375" style="49" customWidth="1"/>
    <col min="3" max="3" width="10.57421875" style="49" customWidth="1"/>
    <col min="4" max="4" width="20.00390625" style="49" customWidth="1"/>
    <col min="5" max="5" width="2.57421875" style="67" customWidth="1"/>
    <col min="6" max="6" width="20.140625" style="49" customWidth="1"/>
    <col min="7" max="7" width="4.7109375" style="29" customWidth="1"/>
    <col min="8" max="8" width="4.421875" style="29" customWidth="1"/>
    <col min="9" max="9" width="5.57421875" style="34" customWidth="1"/>
    <col min="10" max="10" width="5.8515625" style="34" customWidth="1"/>
    <col min="11" max="11" width="0.71875" style="34" customWidth="1"/>
    <col min="12" max="13" width="5.8515625" style="34" customWidth="1"/>
    <col min="14" max="14" width="3.7109375" style="14" customWidth="1"/>
    <col min="15" max="15" width="5.140625" style="34" hidden="1" customWidth="1"/>
    <col min="16" max="16" width="20.7109375" style="34" hidden="1" customWidth="1"/>
    <col min="17" max="17" width="5.8515625" style="34" hidden="1" customWidth="1"/>
    <col min="18" max="23" width="5.57421875" style="34" hidden="1" customWidth="1"/>
    <col min="24" max="24" width="8.140625" style="14" hidden="1" customWidth="1"/>
    <col min="25" max="25" width="7.7109375" style="14" hidden="1" customWidth="1"/>
    <col min="26" max="26" width="5.57421875" style="14" hidden="1" customWidth="1"/>
    <col min="27" max="27" width="12.8515625" style="14" hidden="1" customWidth="1"/>
    <col min="28" max="28" width="1.57421875" style="14" customWidth="1"/>
    <col min="29" max="29" width="5.421875" style="31" customWidth="1"/>
    <col min="30" max="30" width="22.421875" style="31" customWidth="1"/>
    <col min="31" max="31" width="5.8515625" style="31" customWidth="1"/>
    <col min="32" max="34" width="8.421875" style="31" customWidth="1"/>
    <col min="35" max="35" width="11.421875" style="31" customWidth="1"/>
  </cols>
  <sheetData>
    <row r="1" spans="1:38" s="5" customFormat="1" ht="21" customHeight="1">
      <c r="A1" s="186" t="s">
        <v>56</v>
      </c>
      <c r="B1" s="187"/>
      <c r="C1" s="187"/>
      <c r="D1" s="187"/>
      <c r="E1" s="187"/>
      <c r="F1" s="188"/>
      <c r="G1" s="189" t="s">
        <v>0</v>
      </c>
      <c r="H1" s="190"/>
      <c r="I1" s="190"/>
      <c r="J1" s="191"/>
      <c r="K1" s="1"/>
      <c r="L1" s="192" t="s">
        <v>1</v>
      </c>
      <c r="M1" s="193"/>
      <c r="N1" s="2"/>
      <c r="O1" s="170" t="s">
        <v>2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  <c r="AB1" s="3"/>
      <c r="AC1" s="173" t="s">
        <v>145</v>
      </c>
      <c r="AD1" s="174"/>
      <c r="AE1" s="174"/>
      <c r="AF1" s="174"/>
      <c r="AG1" s="174"/>
      <c r="AH1" s="175"/>
      <c r="AI1" s="4"/>
      <c r="AJ1" s="4"/>
      <c r="AK1" s="4"/>
      <c r="AL1" s="4"/>
    </row>
    <row r="2" spans="1:35" s="13" customFormat="1" ht="35.25" customHeight="1">
      <c r="A2" s="69" t="s">
        <v>3</v>
      </c>
      <c r="B2" s="70" t="s">
        <v>4</v>
      </c>
      <c r="C2" s="71" t="s">
        <v>5</v>
      </c>
      <c r="D2" s="176" t="str">
        <f>IF(D35="","Bitte zuerst die 5 Mannschaftsnamen unten ab Zeile 35 eingeben","Spielpaarung")</f>
        <v>Spielpaarung</v>
      </c>
      <c r="E2" s="177"/>
      <c r="F2" s="178"/>
      <c r="G2" s="179" t="s">
        <v>6</v>
      </c>
      <c r="H2" s="180"/>
      <c r="I2" s="181" t="s">
        <v>7</v>
      </c>
      <c r="J2" s="182"/>
      <c r="K2" s="6"/>
      <c r="L2" s="183" t="s">
        <v>8</v>
      </c>
      <c r="M2" s="184"/>
      <c r="N2" s="6"/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7" t="s">
        <v>8</v>
      </c>
      <c r="U2" s="8" t="s">
        <v>14</v>
      </c>
      <c r="V2" s="9" t="s">
        <v>15</v>
      </c>
      <c r="W2" s="7" t="s">
        <v>16</v>
      </c>
      <c r="X2" s="9" t="s">
        <v>17</v>
      </c>
      <c r="Y2" s="9" t="s">
        <v>18</v>
      </c>
      <c r="Z2" s="7" t="s">
        <v>19</v>
      </c>
      <c r="AA2" s="10" t="s">
        <v>20</v>
      </c>
      <c r="AB2" s="11"/>
      <c r="AC2" s="12" t="s">
        <v>9</v>
      </c>
      <c r="AD2" s="12" t="s">
        <v>10</v>
      </c>
      <c r="AE2" s="12" t="s">
        <v>11</v>
      </c>
      <c r="AF2" s="12" t="s">
        <v>8</v>
      </c>
      <c r="AG2" s="12" t="s">
        <v>16</v>
      </c>
      <c r="AH2" s="12" t="s">
        <v>19</v>
      </c>
      <c r="AI2" s="4"/>
    </row>
    <row r="3" spans="1:35" ht="12.75" customHeight="1">
      <c r="A3" s="72">
        <v>1</v>
      </c>
      <c r="B3" s="73" t="s">
        <v>29</v>
      </c>
      <c r="C3" s="74" t="s">
        <v>143</v>
      </c>
      <c r="D3" s="75" t="str">
        <f>D35</f>
        <v>FSB Hildesheim I</v>
      </c>
      <c r="E3" s="76" t="s">
        <v>21</v>
      </c>
      <c r="F3" s="75" t="str">
        <f>D39</f>
        <v>SSG Algermissen I</v>
      </c>
      <c r="G3" s="77">
        <v>2</v>
      </c>
      <c r="H3" s="78">
        <v>2</v>
      </c>
      <c r="I3" s="79">
        <v>85</v>
      </c>
      <c r="J3" s="80">
        <v>85</v>
      </c>
      <c r="K3" s="14"/>
      <c r="L3" s="15">
        <f>IF($G3+$H3&lt;&gt;4,"",IF($G3&gt;$H3,2,IF($G3=$H3,1,0)))</f>
        <v>1</v>
      </c>
      <c r="M3" s="16">
        <f>IF($G3+$H3&lt;&gt;4,"",2-$L3)</f>
        <v>1</v>
      </c>
      <c r="N3" s="17">
        <f aca="true" t="shared" si="0" ref="N3:N31">IF(AND(G3&lt;&gt;"",H3&lt;&gt;"",G3+H3&lt;&gt;4),"!!!","")</f>
      </c>
      <c r="O3" s="18">
        <f>RANK(AA3,$AA$3:$AA$7)</f>
        <v>1</v>
      </c>
      <c r="P3" s="19" t="str">
        <f>D35</f>
        <v>FSB Hildesheim I</v>
      </c>
      <c r="Q3" s="18">
        <f>(R3+S3)/2</f>
        <v>8</v>
      </c>
      <c r="R3" s="20">
        <f>SUMIF($D$3:$D$31,$P3,$L$3:$L$31)+SUMIF($F$3:$F$31,$P3,$M$3:$M$31)</f>
        <v>13</v>
      </c>
      <c r="S3" s="21">
        <f>SUMIF($D$3:$D$31,$P3,$M$3:$M$31)+SUMIF($F$3:$F$31,$P3,$L$3:$L$31)</f>
        <v>3</v>
      </c>
      <c r="T3" s="18" t="str">
        <f>R3&amp;" : "&amp;S3</f>
        <v>13 : 3</v>
      </c>
      <c r="U3" s="20">
        <f>SUMIF($D$3:$D$31,$P3,$G$3:$G$31)+SUMIF($F$3:$F$31,$P3,$H$3:$H$31)</f>
        <v>22</v>
      </c>
      <c r="V3" s="21">
        <f>SUMIF($D$3:$D$31,$P3,$H$3:$H$31)+SUMIF($F$3:$F$31,$P3,$G$3:$G$31)</f>
        <v>10</v>
      </c>
      <c r="W3" s="18" t="str">
        <f>U3&amp;" : "&amp;V3</f>
        <v>22 : 10</v>
      </c>
      <c r="X3" s="20">
        <f>SUMIF($D$3:$D$31,$P3,$I$3:$I$31)+SUMIF($F$3:$F$31,$P3,$J$3:$J$31)</f>
        <v>753</v>
      </c>
      <c r="Y3" s="21">
        <f>SUMIF($D$3:$D$31,$P3,$J$3:$J$31)+SUMIF($F$3:$F$31,$P3,$I$3:$I$31)</f>
        <v>638</v>
      </c>
      <c r="Z3" s="18" t="str">
        <f>X3&amp;" : "&amp;Y3</f>
        <v>753 : 638</v>
      </c>
      <c r="AA3" s="22">
        <f>R3*1000000000+(R3-S3)*10000000+(U3-V3)*10000+(X3-Y3)-ROW(P3)/100</f>
        <v>13100120114.97</v>
      </c>
      <c r="AB3" s="11"/>
      <c r="AC3" s="23">
        <v>1</v>
      </c>
      <c r="AD3" s="24" t="str">
        <f>VLOOKUP($AC3,$O$3:$P$7,2,FALSE)</f>
        <v>FSB Hildesheim I</v>
      </c>
      <c r="AE3" s="23">
        <f>VLOOKUP($AC3,$O$3:$Z$7,3,FALSE)</f>
        <v>8</v>
      </c>
      <c r="AF3" s="23" t="str">
        <f>VLOOKUP($AC3,$O$3:$Z$7,6,FALSE)</f>
        <v>13 : 3</v>
      </c>
      <c r="AG3" s="23" t="str">
        <f>VLOOKUP($AC3,$O$3:$Z$7,9,FALSE)</f>
        <v>22 : 10</v>
      </c>
      <c r="AH3" s="23" t="str">
        <f>VLOOKUP($AC3,$O$3:$Z$7,12,FALSE)</f>
        <v>753 : 638</v>
      </c>
      <c r="AI3"/>
    </row>
    <row r="4" spans="1:35" ht="12.75" customHeight="1">
      <c r="A4" s="72">
        <v>2</v>
      </c>
      <c r="B4" s="73" t="s">
        <v>35</v>
      </c>
      <c r="C4" s="74" t="s">
        <v>104</v>
      </c>
      <c r="D4" s="75" t="s">
        <v>37</v>
      </c>
      <c r="E4" s="76" t="s">
        <v>21</v>
      </c>
      <c r="F4" s="75" t="str">
        <f>$D$37</f>
        <v>TSV Brunkensen I</v>
      </c>
      <c r="G4" s="77">
        <v>1</v>
      </c>
      <c r="H4" s="78">
        <v>3</v>
      </c>
      <c r="I4" s="79">
        <v>88</v>
      </c>
      <c r="J4" s="80">
        <v>96</v>
      </c>
      <c r="K4" s="17"/>
      <c r="L4" s="15">
        <f>IF($G4+$H4&lt;&gt;4,"",IF($G4&gt;$H4,2,IF($G4=$H4,1,0)))</f>
        <v>0</v>
      </c>
      <c r="M4" s="16">
        <f>IF($G4+$H4&lt;&gt;4,"",2-$L4)</f>
        <v>2</v>
      </c>
      <c r="N4" s="17">
        <f t="shared" si="0"/>
      </c>
      <c r="O4" s="18">
        <f>RANK(AA4,$AA$3:$AA$7)</f>
        <v>5</v>
      </c>
      <c r="P4" s="19" t="str">
        <f>D36</f>
        <v>Eintracht Hildesheim</v>
      </c>
      <c r="Q4" s="18">
        <f>(R4+S4)/2</f>
        <v>8</v>
      </c>
      <c r="R4" s="20">
        <f>SUMIF($D$3:$D$31,$P4,$L$3:$L$31)+SUMIF($F$3:$F$31,$P4,$M$3:$M$31)</f>
        <v>2</v>
      </c>
      <c r="S4" s="21">
        <f>SUMIF($D$3:$D$31,$P4,$M$3:$M$31)+SUMIF($F$3:$F$31,$P4,$L$3:$L$31)</f>
        <v>14</v>
      </c>
      <c r="T4" s="18" t="str">
        <f>R4&amp;" : "&amp;S4</f>
        <v>2 : 14</v>
      </c>
      <c r="U4" s="20">
        <f>SUMIF($D$3:$D$31,$P4,$G$3:$G$31)+SUMIF($F$3:$F$31,$P4,$H$3:$H$31)</f>
        <v>7</v>
      </c>
      <c r="V4" s="21">
        <f>SUMIF($D$3:$D$31,$P4,$H$3:$H$31)+SUMIF($F$3:$F$31,$P4,$G$3:$G$31)</f>
        <v>25</v>
      </c>
      <c r="W4" s="18" t="str">
        <f>U4&amp;" : "&amp;V4</f>
        <v>7 : 25</v>
      </c>
      <c r="X4" s="20">
        <f>SUMIF($D$3:$D$31,$P4,$I$3:$I$31)+SUMIF($F$3:$F$31,$P4,$J$3:$J$31)</f>
        <v>609</v>
      </c>
      <c r="Y4" s="21">
        <f>SUMIF($D$3:$D$31,$P4,$J$3:$J$31)+SUMIF($F$3:$F$31,$P4,$I$3:$I$31)</f>
        <v>776</v>
      </c>
      <c r="Z4" s="18" t="str">
        <f>X4&amp;" : "&amp;Y4</f>
        <v>609 : 776</v>
      </c>
      <c r="AA4" s="22">
        <f>R4*1000000000+(R4-S4)*10000000+(U4-V4)*10000+(X4-Y4)-ROW(P4)/100</f>
        <v>1879819832.96</v>
      </c>
      <c r="AB4" s="11"/>
      <c r="AC4" s="23">
        <v>2</v>
      </c>
      <c r="AD4" s="24" t="str">
        <f>VLOOKUP($AC4,$O$3:$Z$7,2,FALSE)</f>
        <v>SSG Algermissen I</v>
      </c>
      <c r="AE4" s="23">
        <f>VLOOKUP($AC4,$O$3:$Z$7,3,FALSE)</f>
        <v>8</v>
      </c>
      <c r="AF4" s="23" t="str">
        <f>VLOOKUP($AC4,$O$3:$Z$7,6,FALSE)</f>
        <v>11 : 5</v>
      </c>
      <c r="AG4" s="23" t="str">
        <f>VLOOKUP($AC4,$O$3:$Z$7,9,FALSE)</f>
        <v>23 : 9</v>
      </c>
      <c r="AH4" s="23" t="str">
        <f>VLOOKUP($AC4,$O$3:$Z$7,12,FALSE)</f>
        <v>734 : 653</v>
      </c>
      <c r="AI4"/>
    </row>
    <row r="5" spans="1:35" ht="12.75" customHeight="1">
      <c r="A5" s="85"/>
      <c r="B5" s="86"/>
      <c r="C5" s="86"/>
      <c r="D5" s="86"/>
      <c r="E5" s="86"/>
      <c r="F5" s="86"/>
      <c r="G5" s="81"/>
      <c r="H5" s="82"/>
      <c r="I5" s="83"/>
      <c r="J5" s="84"/>
      <c r="K5" s="27"/>
      <c r="L5" s="25"/>
      <c r="M5" s="26"/>
      <c r="N5" s="28"/>
      <c r="O5" s="18">
        <f>RANK(AA5,$AA$3:$AA$7)</f>
        <v>3</v>
      </c>
      <c r="P5" s="19" t="str">
        <f>D37</f>
        <v>TSV Brunkensen I</v>
      </c>
      <c r="Q5" s="18">
        <f>(R5+S5)/2</f>
        <v>8</v>
      </c>
      <c r="R5" s="20">
        <f>SUMIF($D$3:$D$31,$P5,$L$3:$L$31)+SUMIF($F$3:$F$31,$P5,$M$3:$M$31)</f>
        <v>8</v>
      </c>
      <c r="S5" s="21">
        <f>SUMIF($D$3:$D$31,$P5,$M$3:$M$31)+SUMIF($F$3:$F$31,$P5,$L$3:$L$31)</f>
        <v>8</v>
      </c>
      <c r="T5" s="18" t="str">
        <f>R5&amp;" : "&amp;S5</f>
        <v>8 : 8</v>
      </c>
      <c r="U5" s="20">
        <f>SUMIF($D$3:$D$31,$P5,$G$3:$G$31)+SUMIF($F$3:$F$31,$P5,$H$3:$H$31)</f>
        <v>16</v>
      </c>
      <c r="V5" s="21">
        <f>SUMIF($D$3:$D$31,$P5,$H$3:$H$31)+SUMIF($F$3:$F$31,$P5,$G$3:$G$31)</f>
        <v>16</v>
      </c>
      <c r="W5" s="18" t="str">
        <f>U5&amp;" : "&amp;V5</f>
        <v>16 : 16</v>
      </c>
      <c r="X5" s="20">
        <f>SUMIF($D$3:$D$31,$P5,$I$3:$I$31)+SUMIF($F$3:$F$31,$P5,$J$3:$J$31)</f>
        <v>706</v>
      </c>
      <c r="Y5" s="21">
        <f>SUMIF($D$3:$D$31,$P5,$J$3:$J$31)+SUMIF($F$3:$F$31,$P5,$I$3:$I$31)</f>
        <v>707</v>
      </c>
      <c r="Z5" s="18" t="str">
        <f>X5&amp;" : "&amp;Y5</f>
        <v>706 : 707</v>
      </c>
      <c r="AA5" s="22">
        <f>R5*1000000000+(R5-S5)*10000000+(U5-V5)*10000+(X5-Y5)-ROW(P5)/100</f>
        <v>7999999998.95</v>
      </c>
      <c r="AB5" s="11"/>
      <c r="AC5" s="23">
        <v>3</v>
      </c>
      <c r="AD5" s="24" t="str">
        <f>VLOOKUP($AC5,$O$3:$Z$7,2,FALSE)</f>
        <v>TSV Brunkensen I</v>
      </c>
      <c r="AE5" s="23">
        <f>VLOOKUP($AC5,$O$3:$Z$7,3,FALSE)</f>
        <v>8</v>
      </c>
      <c r="AF5" s="23" t="str">
        <f>VLOOKUP($AC5,$O$3:$Z$7,6,FALSE)</f>
        <v>8 : 8</v>
      </c>
      <c r="AG5" s="23" t="str">
        <f>VLOOKUP($AC5,$O$3:$Z$7,9,FALSE)</f>
        <v>16 : 16</v>
      </c>
      <c r="AH5" s="23" t="str">
        <f>VLOOKUP($AC5,$O$3:$Z$7,12,FALSE)</f>
        <v>706 : 707</v>
      </c>
      <c r="AI5"/>
    </row>
    <row r="6" spans="1:35" ht="12.75" customHeight="1">
      <c r="A6" s="72">
        <v>3</v>
      </c>
      <c r="B6" s="73" t="s">
        <v>34</v>
      </c>
      <c r="C6" s="74" t="s">
        <v>101</v>
      </c>
      <c r="D6" s="75" t="str">
        <f>$D$38</f>
        <v>DJK B-W Hildesheim</v>
      </c>
      <c r="E6" s="76" t="s">
        <v>21</v>
      </c>
      <c r="F6" s="75" t="str">
        <f>D35</f>
        <v>FSB Hildesheim I</v>
      </c>
      <c r="G6" s="77">
        <v>0</v>
      </c>
      <c r="H6" s="78">
        <v>4</v>
      </c>
      <c r="I6" s="79">
        <v>81</v>
      </c>
      <c r="J6" s="80">
        <v>100</v>
      </c>
      <c r="K6" s="14"/>
      <c r="L6" s="15">
        <f>IF($G6+$H6&lt;&gt;4,"",IF($G6&gt;$H6,2,IF($G6=$H6,1,0)))</f>
        <v>0</v>
      </c>
      <c r="M6" s="16">
        <f>IF($G6+$H6&lt;&gt;4,"",2-$L6)</f>
        <v>2</v>
      </c>
      <c r="N6" s="17">
        <f t="shared" si="0"/>
      </c>
      <c r="O6" s="18">
        <f>RANK(AA6,$AA$3:$AA$7)</f>
        <v>4</v>
      </c>
      <c r="P6" s="19" t="str">
        <f>D38</f>
        <v>DJK B-W Hildesheim</v>
      </c>
      <c r="Q6" s="18">
        <f>(R6+S6)/2</f>
        <v>8</v>
      </c>
      <c r="R6" s="20">
        <f>SUMIF($D$3:$D$31,$P6,$L$3:$L$31)+SUMIF($F$3:$F$31,$P6,$M$3:$M$31)</f>
        <v>6</v>
      </c>
      <c r="S6" s="21">
        <f>SUMIF($D$3:$D$31,$P6,$M$3:$M$31)+SUMIF($F$3:$F$31,$P6,$L$3:$L$31)</f>
        <v>10</v>
      </c>
      <c r="T6" s="18" t="str">
        <f>R6&amp;" : "&amp;S6</f>
        <v>6 : 10</v>
      </c>
      <c r="U6" s="20">
        <f>SUMIF($D$3:$D$31,$P6,$G$3:$G$31)+SUMIF($F$3:$F$31,$P6,$H$3:$H$31)</f>
        <v>12</v>
      </c>
      <c r="V6" s="21">
        <f>SUMIF($D$3:$D$31,$P6,$H$3:$H$31)+SUMIF($F$3:$F$31,$P6,$G$3:$G$31)</f>
        <v>20</v>
      </c>
      <c r="W6" s="18" t="str">
        <f>U6&amp;" : "&amp;V6</f>
        <v>12 : 20</v>
      </c>
      <c r="X6" s="20">
        <f>SUMIF($D$3:$D$31,$P6,$I$3:$I$31)+SUMIF($F$3:$F$31,$P6,$J$3:$J$31)</f>
        <v>713</v>
      </c>
      <c r="Y6" s="21">
        <f>SUMIF($D$3:$D$31,$P6,$J$3:$J$31)+SUMIF($F$3:$F$31,$P6,$I$3:$I$31)</f>
        <v>741</v>
      </c>
      <c r="Z6" s="18" t="str">
        <f>X6&amp;" : "&amp;Y6</f>
        <v>713 : 741</v>
      </c>
      <c r="AA6" s="22">
        <f>R6*1000000000+(R6-S6)*10000000+(U6-V6)*10000+(X6-Y6)-ROW(P6)/100</f>
        <v>5959919971.94</v>
      </c>
      <c r="AB6" s="11"/>
      <c r="AC6" s="23">
        <v>4</v>
      </c>
      <c r="AD6" s="24" t="str">
        <f>VLOOKUP($AC6,$O$3:$Z$7,2,FALSE)</f>
        <v>DJK B-W Hildesheim</v>
      </c>
      <c r="AE6" s="23">
        <f>VLOOKUP($AC6,$O$3:$Z$7,3,FALSE)</f>
        <v>8</v>
      </c>
      <c r="AF6" s="23" t="str">
        <f>VLOOKUP($AC6,$O$3:$Z$7,6,FALSE)</f>
        <v>6 : 10</v>
      </c>
      <c r="AG6" s="23" t="str">
        <f>VLOOKUP($AC6,$O$3:$Z$7,9,FALSE)</f>
        <v>12 : 20</v>
      </c>
      <c r="AH6" s="23" t="str">
        <f>VLOOKUP($AC6,$O$3:$Z$7,12,FALSE)</f>
        <v>713 : 741</v>
      </c>
      <c r="AI6"/>
    </row>
    <row r="7" spans="1:35" ht="12.75" customHeight="1">
      <c r="A7" s="72">
        <v>4</v>
      </c>
      <c r="B7" s="73" t="s">
        <v>32</v>
      </c>
      <c r="C7" s="74" t="s">
        <v>66</v>
      </c>
      <c r="D7" s="75" t="str">
        <f>D39</f>
        <v>SSG Algermissen I</v>
      </c>
      <c r="E7" s="76" t="s">
        <v>21</v>
      </c>
      <c r="F7" s="75" t="s">
        <v>37</v>
      </c>
      <c r="G7" s="77">
        <v>4</v>
      </c>
      <c r="H7" s="78">
        <v>0</v>
      </c>
      <c r="I7" s="79">
        <v>100</v>
      </c>
      <c r="J7" s="80">
        <v>63</v>
      </c>
      <c r="K7" s="17"/>
      <c r="L7" s="15">
        <f>IF($G7+$H7&lt;&gt;4,"",IF($G7&gt;$H7,2,IF($G7=$H7,1,0)))</f>
        <v>2</v>
      </c>
      <c r="M7" s="16">
        <f>IF($G7+$H7&lt;&gt;4,"",2-$L7)</f>
        <v>0</v>
      </c>
      <c r="N7" s="17">
        <f t="shared" si="0"/>
      </c>
      <c r="O7" s="18">
        <f>RANK(AA7,$AA$3:$AA$7)</f>
        <v>2</v>
      </c>
      <c r="P7" s="19" t="str">
        <f>D39</f>
        <v>SSG Algermissen I</v>
      </c>
      <c r="Q7" s="18">
        <f>(R7+S7)/2</f>
        <v>8</v>
      </c>
      <c r="R7" s="20">
        <f>SUMIF($D$3:$D$31,$P7,$L$3:$L$31)+SUMIF($F$3:$F$31,$P7,$M$3:$M$31)</f>
        <v>11</v>
      </c>
      <c r="S7" s="21">
        <f>SUMIF($D$3:$D$31,$P7,$M$3:$M$31)+SUMIF($F$3:$F$31,$P7,$L$3:$L$31)</f>
        <v>5</v>
      </c>
      <c r="T7" s="18" t="str">
        <f>R7&amp;" : "&amp;S7</f>
        <v>11 : 5</v>
      </c>
      <c r="U7" s="20">
        <f>SUMIF($D$3:$D$31,$P7,$G$3:$G$31)+SUMIF($F$3:$F$31,$P7,$H$3:$H$31)</f>
        <v>23</v>
      </c>
      <c r="V7" s="21">
        <f>SUMIF($D$3:$D$31,$P7,$H$3:$H$31)+SUMIF($F$3:$F$31,$P7,$G$3:$G$31)</f>
        <v>9</v>
      </c>
      <c r="W7" s="18" t="str">
        <f>U7&amp;" : "&amp;V7</f>
        <v>23 : 9</v>
      </c>
      <c r="X7" s="20">
        <f>SUMIF($D$3:$D$31,$P7,$I$3:$I$31)+SUMIF($F$3:$F$31,$P7,$J$3:$J$31)</f>
        <v>734</v>
      </c>
      <c r="Y7" s="21">
        <f>SUMIF($D$3:$D$31,$P7,$J$3:$J$31)+SUMIF($F$3:$F$31,$P7,$I$3:$I$31)</f>
        <v>653</v>
      </c>
      <c r="Z7" s="18" t="str">
        <f>X7&amp;" : "&amp;Y7</f>
        <v>734 : 653</v>
      </c>
      <c r="AA7" s="22">
        <f>R7*1000000000+(R7-S7)*10000000+(U7-V7)*10000+(X7-Y7)-ROW(P7)/100</f>
        <v>11060140080.93</v>
      </c>
      <c r="AB7" s="11"/>
      <c r="AC7" s="23">
        <v>5</v>
      </c>
      <c r="AD7" s="24" t="str">
        <f>VLOOKUP($AC7,$O$3:$Z$7,2,FALSE)</f>
        <v>Eintracht Hildesheim</v>
      </c>
      <c r="AE7" s="23">
        <f>VLOOKUP($AC7,$O$3:$Z$7,3,FALSE)</f>
        <v>8</v>
      </c>
      <c r="AF7" s="23" t="str">
        <f>VLOOKUP($AC7,$O$3:$Z$7,6,FALSE)</f>
        <v>2 : 14</v>
      </c>
      <c r="AG7" s="23" t="str">
        <f>VLOOKUP($AC7,$O$3:$Z$7,9,FALSE)</f>
        <v>7 : 25</v>
      </c>
      <c r="AH7" s="23" t="str">
        <f>VLOOKUP($AC7,$O$3:$Z$7,12,FALSE)</f>
        <v>609 : 776</v>
      </c>
      <c r="AI7"/>
    </row>
    <row r="8" spans="1:35" ht="12.75" customHeight="1">
      <c r="A8" s="85"/>
      <c r="B8" s="86"/>
      <c r="C8" s="86"/>
      <c r="D8" s="86"/>
      <c r="E8" s="86"/>
      <c r="F8" s="86"/>
      <c r="G8" s="81"/>
      <c r="H8" s="82"/>
      <c r="I8" s="83"/>
      <c r="J8" s="84"/>
      <c r="K8" s="27"/>
      <c r="L8" s="25"/>
      <c r="M8" s="26"/>
      <c r="N8" s="28"/>
      <c r="O8" s="29"/>
      <c r="P8" s="29"/>
      <c r="Q8" s="29"/>
      <c r="R8" s="29"/>
      <c r="S8" s="29"/>
      <c r="T8" s="29"/>
      <c r="U8" s="29"/>
      <c r="V8" s="29"/>
      <c r="W8" s="29"/>
      <c r="X8" s="11"/>
      <c r="Y8" s="11"/>
      <c r="Z8" s="11"/>
      <c r="AA8" s="11"/>
      <c r="AB8" s="11"/>
      <c r="AC8" s="30"/>
      <c r="AI8"/>
    </row>
    <row r="9" spans="1:34" ht="12.75" customHeight="1">
      <c r="A9" s="72">
        <v>5</v>
      </c>
      <c r="B9" s="73" t="s">
        <v>29</v>
      </c>
      <c r="C9" s="74" t="s">
        <v>67</v>
      </c>
      <c r="D9" s="75" t="str">
        <f>D35</f>
        <v>FSB Hildesheim I</v>
      </c>
      <c r="E9" s="76" t="s">
        <v>21</v>
      </c>
      <c r="F9" s="75" t="str">
        <f>D36</f>
        <v>Eintracht Hildesheim</v>
      </c>
      <c r="G9" s="77">
        <v>3</v>
      </c>
      <c r="H9" s="78">
        <v>1</v>
      </c>
      <c r="I9" s="79">
        <v>96</v>
      </c>
      <c r="J9" s="80">
        <v>71</v>
      </c>
      <c r="K9" s="14"/>
      <c r="L9" s="15">
        <f>IF($G9+$H9&lt;&gt;4,"",IF($G9&gt;$H9,2,IF($G9=$H9,1,0)))</f>
        <v>2</v>
      </c>
      <c r="M9" s="16">
        <f>IF($G9+$H9&lt;&gt;4,"",2-$L9)</f>
        <v>0</v>
      </c>
      <c r="N9" s="17">
        <f t="shared" si="0"/>
      </c>
      <c r="O9" s="29"/>
      <c r="P9" s="29"/>
      <c r="Q9" s="29"/>
      <c r="R9" s="29"/>
      <c r="S9" s="29"/>
      <c r="T9" s="29"/>
      <c r="U9" s="29"/>
      <c r="V9" s="29"/>
      <c r="W9" s="29"/>
      <c r="X9" s="11"/>
      <c r="Y9" s="11"/>
      <c r="Z9" s="11"/>
      <c r="AA9" s="11"/>
      <c r="AB9" s="11"/>
      <c r="AC9" s="32" t="s">
        <v>22</v>
      </c>
      <c r="AD9" s="30"/>
      <c r="AE9" s="30"/>
      <c r="AF9" s="33">
        <f>SUM(R$3:S7)/2</f>
        <v>40</v>
      </c>
      <c r="AG9" s="33">
        <f>SUM(U$3:V7)/2</f>
        <v>80</v>
      </c>
      <c r="AH9" s="33">
        <f>SUM(X$3:Y7)/2</f>
        <v>3515</v>
      </c>
    </row>
    <row r="10" spans="1:29" ht="12.75" customHeight="1">
      <c r="A10" s="72">
        <v>6</v>
      </c>
      <c r="B10" s="73" t="s">
        <v>32</v>
      </c>
      <c r="C10" s="74" t="s">
        <v>68</v>
      </c>
      <c r="D10" s="75" t="str">
        <f>$D$37</f>
        <v>TSV Brunkensen I</v>
      </c>
      <c r="E10" s="76" t="s">
        <v>21</v>
      </c>
      <c r="F10" s="75" t="str">
        <f>$D$38</f>
        <v>DJK B-W Hildesheim</v>
      </c>
      <c r="G10" s="77">
        <v>1</v>
      </c>
      <c r="H10" s="78">
        <v>3</v>
      </c>
      <c r="I10" s="79">
        <v>85</v>
      </c>
      <c r="J10" s="80">
        <v>93</v>
      </c>
      <c r="K10" s="17"/>
      <c r="L10" s="15">
        <f>IF($G10+$H10&lt;&gt;4,"",IF($G10&gt;$H10,2,IF($G10=$H10,1,0)))</f>
        <v>0</v>
      </c>
      <c r="M10" s="16">
        <f>IF($G10+$H10&lt;&gt;4,"",2-$L10)</f>
        <v>2</v>
      </c>
      <c r="N10" s="17">
        <f t="shared" si="0"/>
      </c>
      <c r="O10" s="29"/>
      <c r="P10" s="29"/>
      <c r="Q10" s="29"/>
      <c r="R10" s="29"/>
      <c r="S10" s="29"/>
      <c r="T10" s="29"/>
      <c r="U10" s="29"/>
      <c r="V10" s="29"/>
      <c r="W10" s="29"/>
      <c r="X10" s="11"/>
      <c r="Y10" s="11"/>
      <c r="Z10" s="11"/>
      <c r="AA10" s="11"/>
      <c r="AB10" s="11"/>
      <c r="AC10" s="30"/>
    </row>
    <row r="11" spans="1:28" ht="12.75" customHeight="1">
      <c r="A11" s="85"/>
      <c r="B11" s="86"/>
      <c r="C11" s="86"/>
      <c r="D11" s="86"/>
      <c r="E11" s="86"/>
      <c r="F11" s="86"/>
      <c r="G11" s="81"/>
      <c r="H11" s="82"/>
      <c r="I11" s="83"/>
      <c r="J11" s="84"/>
      <c r="K11" s="27"/>
      <c r="L11" s="25"/>
      <c r="M11" s="26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11"/>
      <c r="Y11" s="11"/>
      <c r="Z11" s="11"/>
      <c r="AA11" s="11"/>
      <c r="AB11" s="11"/>
    </row>
    <row r="12" spans="1:28" ht="12.75" customHeight="1">
      <c r="A12" s="72">
        <v>7</v>
      </c>
      <c r="B12" s="73" t="s">
        <v>32</v>
      </c>
      <c r="C12" s="74"/>
      <c r="D12" s="75" t="str">
        <f>D39</f>
        <v>SSG Algermissen I</v>
      </c>
      <c r="E12" s="76" t="s">
        <v>21</v>
      </c>
      <c r="F12" s="75" t="str">
        <f>$D$37</f>
        <v>TSV Brunkensen I</v>
      </c>
      <c r="G12" s="77">
        <v>4</v>
      </c>
      <c r="H12" s="78">
        <v>0</v>
      </c>
      <c r="I12" s="79">
        <v>100</v>
      </c>
      <c r="J12" s="80">
        <v>80</v>
      </c>
      <c r="K12" s="14"/>
      <c r="L12" s="15">
        <f>IF($G12+$H12&lt;&gt;4,"",IF($G12&gt;$H12,2,IF($G12=$H12,1,0)))</f>
        <v>2</v>
      </c>
      <c r="M12" s="16">
        <f>IF($G12+$H12&lt;&gt;4,"",2-$L12)</f>
        <v>0</v>
      </c>
      <c r="N12" s="17">
        <f t="shared" si="0"/>
      </c>
      <c r="O12" s="29"/>
      <c r="P12" s="29"/>
      <c r="Q12" s="29"/>
      <c r="R12" s="29"/>
      <c r="S12" s="29"/>
      <c r="T12" s="29"/>
      <c r="U12" s="29"/>
      <c r="V12" s="29"/>
      <c r="W12" s="29"/>
      <c r="X12" s="11"/>
      <c r="Y12" s="11"/>
      <c r="Z12" s="11"/>
      <c r="AA12" s="11"/>
      <c r="AB12" s="11"/>
    </row>
    <row r="13" spans="1:28" ht="12.75" customHeight="1">
      <c r="A13" s="72">
        <v>8</v>
      </c>
      <c r="B13" s="73" t="s">
        <v>35</v>
      </c>
      <c r="C13" s="74" t="s">
        <v>69</v>
      </c>
      <c r="D13" s="75" t="s">
        <v>37</v>
      </c>
      <c r="E13" s="76" t="s">
        <v>21</v>
      </c>
      <c r="F13" s="75" t="str">
        <f>$D$38</f>
        <v>DJK B-W Hildesheim</v>
      </c>
      <c r="G13" s="77">
        <v>2</v>
      </c>
      <c r="H13" s="78">
        <v>2</v>
      </c>
      <c r="I13" s="79">
        <v>91</v>
      </c>
      <c r="J13" s="80">
        <v>91</v>
      </c>
      <c r="K13" s="17"/>
      <c r="L13" s="15">
        <f>IF($G13+$H13&lt;&gt;4,"",IF($G13&gt;$H13,2,IF($G13=$H13,1,0)))</f>
        <v>1</v>
      </c>
      <c r="M13" s="16">
        <f>IF($G13+$H13&lt;&gt;4,"",2-$L13)</f>
        <v>1</v>
      </c>
      <c r="N13" s="17">
        <f t="shared" si="0"/>
      </c>
      <c r="O13" s="29"/>
      <c r="P13" s="29"/>
      <c r="Q13" s="29"/>
      <c r="R13" s="29"/>
      <c r="S13" s="29"/>
      <c r="T13" s="29"/>
      <c r="U13" s="29"/>
      <c r="V13" s="29"/>
      <c r="W13" s="29"/>
      <c r="X13" s="11"/>
      <c r="Y13" s="11"/>
      <c r="Z13" s="11"/>
      <c r="AA13" s="11"/>
      <c r="AB13" s="11"/>
    </row>
    <row r="14" spans="1:28" ht="12.75" customHeight="1">
      <c r="A14" s="85"/>
      <c r="B14" s="86"/>
      <c r="C14" s="86"/>
      <c r="D14" s="86"/>
      <c r="E14" s="86"/>
      <c r="F14" s="86"/>
      <c r="G14" s="81"/>
      <c r="H14" s="82"/>
      <c r="I14" s="83"/>
      <c r="J14" s="84"/>
      <c r="K14" s="27"/>
      <c r="L14" s="25"/>
      <c r="M14" s="26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11"/>
      <c r="Y14" s="11"/>
      <c r="Z14" s="11"/>
      <c r="AA14" s="11"/>
      <c r="AB14" s="11"/>
    </row>
    <row r="15" spans="1:28" ht="12.75" customHeight="1">
      <c r="A15" s="72">
        <v>9</v>
      </c>
      <c r="B15" s="73" t="s">
        <v>34</v>
      </c>
      <c r="C15" s="74" t="s">
        <v>70</v>
      </c>
      <c r="D15" s="75" t="str">
        <f>$D$38</f>
        <v>DJK B-W Hildesheim</v>
      </c>
      <c r="E15" s="76" t="s">
        <v>21</v>
      </c>
      <c r="F15" s="75" t="str">
        <f>D39</f>
        <v>SSG Algermissen I</v>
      </c>
      <c r="G15" s="77">
        <v>0</v>
      </c>
      <c r="H15" s="78">
        <v>4</v>
      </c>
      <c r="I15" s="79">
        <v>85</v>
      </c>
      <c r="J15" s="80">
        <v>101</v>
      </c>
      <c r="K15" s="14"/>
      <c r="L15" s="15">
        <f>IF($G15+$H15&lt;&gt;4,"",IF($G15&gt;$H15,2,IF($G15=$H15,1,0)))</f>
        <v>0</v>
      </c>
      <c r="M15" s="16">
        <f>IF($G15+$H15&lt;&gt;4,"",2-$L15)</f>
        <v>2</v>
      </c>
      <c r="N15" s="17">
        <f t="shared" si="0"/>
      </c>
      <c r="O15" s="29"/>
      <c r="P15" s="29"/>
      <c r="Q15" s="29"/>
      <c r="R15" s="29"/>
      <c r="S15" s="29"/>
      <c r="T15" s="29"/>
      <c r="U15" s="29"/>
      <c r="V15" s="29"/>
      <c r="W15" s="29"/>
      <c r="X15" s="11"/>
      <c r="Y15" s="11"/>
      <c r="Z15" s="11"/>
      <c r="AA15" s="11"/>
      <c r="AB15" s="11"/>
    </row>
    <row r="16" spans="1:28" ht="12.75" customHeight="1">
      <c r="A16" s="72">
        <v>10</v>
      </c>
      <c r="B16" s="73" t="s">
        <v>32</v>
      </c>
      <c r="C16" s="74" t="s">
        <v>78</v>
      </c>
      <c r="D16" s="75" t="str">
        <f>$D$37</f>
        <v>TSV Brunkensen I</v>
      </c>
      <c r="E16" s="76" t="s">
        <v>21</v>
      </c>
      <c r="F16" s="75" t="s">
        <v>30</v>
      </c>
      <c r="G16" s="77">
        <v>1</v>
      </c>
      <c r="H16" s="78">
        <v>3</v>
      </c>
      <c r="I16" s="79">
        <v>85</v>
      </c>
      <c r="J16" s="80">
        <v>97</v>
      </c>
      <c r="K16" s="17"/>
      <c r="L16" s="15">
        <f>IF($G16+$H16&lt;&gt;4,"",IF($G16&gt;$H16,2,IF($G16=$H16,1,0)))</f>
        <v>0</v>
      </c>
      <c r="M16" s="16">
        <f>IF($G16+$H16&lt;&gt;4,"",2-$L16)</f>
        <v>2</v>
      </c>
      <c r="N16" s="17">
        <f t="shared" si="0"/>
      </c>
      <c r="O16" s="29"/>
      <c r="P16" s="29"/>
      <c r="Q16" s="29"/>
      <c r="R16" s="29"/>
      <c r="S16" s="29"/>
      <c r="T16" s="29"/>
      <c r="U16" s="29"/>
      <c r="V16" s="29"/>
      <c r="W16" s="29"/>
      <c r="X16" s="11"/>
      <c r="Y16" s="11"/>
      <c r="Z16" s="11"/>
      <c r="AA16" s="11"/>
      <c r="AB16" s="11"/>
    </row>
    <row r="17" spans="1:28" ht="12.75" customHeight="1">
      <c r="A17" s="85"/>
      <c r="B17" s="86"/>
      <c r="C17" s="86"/>
      <c r="D17" s="86"/>
      <c r="E17" s="86"/>
      <c r="F17" s="86"/>
      <c r="G17" s="81"/>
      <c r="H17" s="82"/>
      <c r="I17" s="83"/>
      <c r="J17" s="84"/>
      <c r="K17" s="27"/>
      <c r="L17" s="25"/>
      <c r="M17" s="26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11"/>
      <c r="Y17" s="11"/>
      <c r="Z17" s="11"/>
      <c r="AA17" s="11"/>
      <c r="AB17" s="11"/>
    </row>
    <row r="18" spans="1:28" ht="12.75" customHeight="1">
      <c r="A18" s="72">
        <v>11</v>
      </c>
      <c r="B18" s="73" t="s">
        <v>32</v>
      </c>
      <c r="C18" s="74" t="s">
        <v>72</v>
      </c>
      <c r="D18" s="75" t="str">
        <f>D39</f>
        <v>SSG Algermissen I</v>
      </c>
      <c r="E18" s="76" t="s">
        <v>21</v>
      </c>
      <c r="F18" s="75" t="str">
        <f>D35</f>
        <v>FSB Hildesheim I</v>
      </c>
      <c r="G18" s="77">
        <v>0</v>
      </c>
      <c r="H18" s="78">
        <v>4</v>
      </c>
      <c r="I18" s="79">
        <v>64</v>
      </c>
      <c r="J18" s="80">
        <v>100</v>
      </c>
      <c r="K18" s="14"/>
      <c r="L18" s="15">
        <f>IF($G18+$H18&lt;&gt;4,"",IF($G18&gt;$H18,2,IF($G18=$H18,1,0)))</f>
        <v>0</v>
      </c>
      <c r="M18" s="16">
        <f>IF($G18+$H18&lt;&gt;4,"",2-$L18)</f>
        <v>2</v>
      </c>
      <c r="N18" s="17">
        <f t="shared" si="0"/>
      </c>
      <c r="O18" s="29"/>
      <c r="P18" s="29"/>
      <c r="Q18" s="29"/>
      <c r="R18" s="29"/>
      <c r="S18" s="29"/>
      <c r="T18" s="29"/>
      <c r="U18" s="29"/>
      <c r="V18" s="29"/>
      <c r="W18" s="29"/>
      <c r="X18" s="11"/>
      <c r="Y18" s="11"/>
      <c r="Z18" s="11"/>
      <c r="AA18" s="11"/>
      <c r="AB18" s="11"/>
    </row>
    <row r="19" spans="1:28" ht="12.75" customHeight="1">
      <c r="A19" s="72">
        <v>12</v>
      </c>
      <c r="B19" s="73" t="s">
        <v>32</v>
      </c>
      <c r="C19" s="74" t="s">
        <v>73</v>
      </c>
      <c r="D19" s="75" t="str">
        <f>$D$37</f>
        <v>TSV Brunkensen I</v>
      </c>
      <c r="E19" s="76" t="s">
        <v>21</v>
      </c>
      <c r="F19" s="75" t="s">
        <v>37</v>
      </c>
      <c r="G19" s="77">
        <v>4</v>
      </c>
      <c r="H19" s="78">
        <v>0</v>
      </c>
      <c r="I19" s="79">
        <v>100</v>
      </c>
      <c r="J19" s="80">
        <v>57</v>
      </c>
      <c r="K19" s="17"/>
      <c r="L19" s="15">
        <f>IF($G19+$H19&lt;&gt;4,"",IF($G19&gt;$H19,2,IF($G19=$H19,1,0)))</f>
        <v>2</v>
      </c>
      <c r="M19" s="16">
        <f>IF($G19+$H19&lt;&gt;4,"",2-$L19)</f>
        <v>0</v>
      </c>
      <c r="N19" s="17">
        <f t="shared" si="0"/>
      </c>
      <c r="O19" s="29"/>
      <c r="P19" s="29"/>
      <c r="Q19" s="29"/>
      <c r="R19" s="29"/>
      <c r="S19" s="29"/>
      <c r="T19" s="29"/>
      <c r="U19" s="29"/>
      <c r="V19" s="29"/>
      <c r="W19" s="29"/>
      <c r="X19" s="11"/>
      <c r="Y19" s="11"/>
      <c r="Z19" s="11"/>
      <c r="AA19" s="11"/>
      <c r="AB19" s="11"/>
    </row>
    <row r="20" spans="1:28" ht="12.75" customHeight="1">
      <c r="A20" s="85"/>
      <c r="B20" s="86"/>
      <c r="C20" s="86"/>
      <c r="D20" s="86"/>
      <c r="E20" s="86"/>
      <c r="F20" s="86"/>
      <c r="G20" s="81"/>
      <c r="H20" s="82"/>
      <c r="I20" s="83"/>
      <c r="J20" s="84"/>
      <c r="K20" s="27"/>
      <c r="L20" s="25"/>
      <c r="M20" s="26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11"/>
      <c r="Y20" s="11"/>
      <c r="Z20" s="11"/>
      <c r="AA20" s="11"/>
      <c r="AB20" s="11"/>
    </row>
    <row r="21" spans="1:14" ht="12.75" customHeight="1">
      <c r="A21" s="72">
        <v>13</v>
      </c>
      <c r="B21" s="73" t="s">
        <v>29</v>
      </c>
      <c r="C21" s="74"/>
      <c r="D21" s="75" t="str">
        <f>D35</f>
        <v>FSB Hildesheim I</v>
      </c>
      <c r="E21" s="76" t="s">
        <v>21</v>
      </c>
      <c r="F21" s="75" t="str">
        <f>$D$38</f>
        <v>DJK B-W Hildesheim</v>
      </c>
      <c r="G21" s="77">
        <v>0</v>
      </c>
      <c r="H21" s="78">
        <v>4</v>
      </c>
      <c r="I21" s="79">
        <v>80</v>
      </c>
      <c r="J21" s="80">
        <v>100</v>
      </c>
      <c r="K21" s="14"/>
      <c r="L21" s="15">
        <f>IF($G21+$H21&lt;&gt;4,"",IF($G21&gt;$H21,2,IF($G21=$H21,1,0)))</f>
        <v>0</v>
      </c>
      <c r="M21" s="16">
        <f>IF($G21+$H21&lt;&gt;4,"",2-$L21)</f>
        <v>2</v>
      </c>
      <c r="N21" s="17">
        <f t="shared" si="0"/>
      </c>
    </row>
    <row r="22" spans="1:34" ht="12.75" customHeight="1">
      <c r="A22" s="72">
        <v>14</v>
      </c>
      <c r="B22" s="73" t="s">
        <v>35</v>
      </c>
      <c r="C22" s="74" t="s">
        <v>74</v>
      </c>
      <c r="D22" s="75" t="s">
        <v>37</v>
      </c>
      <c r="E22" s="76" t="s">
        <v>21</v>
      </c>
      <c r="F22" s="75" t="str">
        <f>D39</f>
        <v>SSG Algermissen I</v>
      </c>
      <c r="G22" s="77">
        <v>0</v>
      </c>
      <c r="H22" s="78">
        <v>4</v>
      </c>
      <c r="I22" s="79">
        <v>70</v>
      </c>
      <c r="J22" s="80">
        <v>103</v>
      </c>
      <c r="K22" s="17"/>
      <c r="L22" s="15">
        <f>IF($G22+$H22&lt;&gt;4,"",IF($G22&gt;$H22,2,IF($G22=$H22,1,0)))</f>
        <v>0</v>
      </c>
      <c r="M22" s="16">
        <f>IF($G22+$H22&lt;&gt;4,"",2-$L22)</f>
        <v>2</v>
      </c>
      <c r="N22" s="17">
        <f t="shared" si="0"/>
      </c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6"/>
      <c r="Z22" s="36"/>
      <c r="AA22" s="36"/>
      <c r="AB22" s="36"/>
      <c r="AC22" s="37"/>
      <c r="AD22" s="37"/>
      <c r="AE22" s="37"/>
      <c r="AF22" s="37"/>
      <c r="AG22" s="37"/>
      <c r="AH22" s="37"/>
    </row>
    <row r="23" spans="1:14" ht="12.75" customHeight="1">
      <c r="A23" s="85"/>
      <c r="B23" s="86"/>
      <c r="C23" s="86"/>
      <c r="D23" s="86"/>
      <c r="E23" s="86"/>
      <c r="F23" s="86"/>
      <c r="G23" s="81"/>
      <c r="H23" s="82"/>
      <c r="I23" s="83"/>
      <c r="J23" s="84"/>
      <c r="K23" s="27"/>
      <c r="L23" s="25"/>
      <c r="M23" s="26"/>
      <c r="N23" s="28"/>
    </row>
    <row r="24" spans="1:14" ht="12.75" customHeight="1">
      <c r="A24" s="72">
        <v>15</v>
      </c>
      <c r="B24" s="73" t="s">
        <v>35</v>
      </c>
      <c r="C24" s="74" t="s">
        <v>75</v>
      </c>
      <c r="D24" s="75" t="s">
        <v>37</v>
      </c>
      <c r="E24" s="76" t="s">
        <v>21</v>
      </c>
      <c r="F24" s="75" t="str">
        <f>D35</f>
        <v>FSB Hildesheim I</v>
      </c>
      <c r="G24" s="77">
        <v>1</v>
      </c>
      <c r="H24" s="78">
        <v>3</v>
      </c>
      <c r="I24" s="79">
        <v>77</v>
      </c>
      <c r="J24" s="80">
        <v>97</v>
      </c>
      <c r="K24" s="14"/>
      <c r="L24" s="15">
        <f>IF($G24+$H24&lt;&gt;4,"",IF($G24&gt;$H24,2,IF($G24=$H24,1,0)))</f>
        <v>0</v>
      </c>
      <c r="M24" s="16">
        <f>IF($G24+$H24&lt;&gt;4,"",2-$L24)</f>
        <v>2</v>
      </c>
      <c r="N24" s="17">
        <f t="shared" si="0"/>
      </c>
    </row>
    <row r="25" spans="1:14" ht="12.75" customHeight="1">
      <c r="A25" s="72">
        <v>16</v>
      </c>
      <c r="B25" s="73" t="s">
        <v>34</v>
      </c>
      <c r="C25" s="74" t="s">
        <v>76</v>
      </c>
      <c r="D25" s="75" t="str">
        <f>$D$38</f>
        <v>DJK B-W Hildesheim</v>
      </c>
      <c r="E25" s="76" t="s">
        <v>21</v>
      </c>
      <c r="F25" s="75" t="str">
        <f>$D$37</f>
        <v>TSV Brunkensen I</v>
      </c>
      <c r="G25" s="77">
        <v>1</v>
      </c>
      <c r="H25" s="78">
        <v>3</v>
      </c>
      <c r="I25" s="79">
        <v>93</v>
      </c>
      <c r="J25" s="80">
        <v>92</v>
      </c>
      <c r="K25" s="17"/>
      <c r="L25" s="15">
        <f>IF($G25+$H25&lt;&gt;4,"",IF($G25&gt;$H25,2,IF($G25=$H25,1,0)))</f>
        <v>0</v>
      </c>
      <c r="M25" s="16">
        <f>IF($G25+$H25&lt;&gt;4,"",2-$L25)</f>
        <v>2</v>
      </c>
      <c r="N25" s="17">
        <f t="shared" si="0"/>
      </c>
    </row>
    <row r="26" spans="1:14" ht="12.75" customHeight="1">
      <c r="A26" s="87"/>
      <c r="B26" s="86"/>
      <c r="C26" s="86"/>
      <c r="D26" s="86"/>
      <c r="E26" s="86"/>
      <c r="F26" s="86"/>
      <c r="G26" s="81"/>
      <c r="H26" s="82"/>
      <c r="I26" s="83"/>
      <c r="J26" s="84"/>
      <c r="K26" s="27"/>
      <c r="L26" s="25"/>
      <c r="M26" s="26"/>
      <c r="N26" s="28"/>
    </row>
    <row r="27" spans="1:14" ht="12.75" customHeight="1">
      <c r="A27" s="72">
        <v>17</v>
      </c>
      <c r="B27" s="73" t="s">
        <v>32</v>
      </c>
      <c r="C27" s="74" t="s">
        <v>77</v>
      </c>
      <c r="D27" s="75" t="str">
        <f>$D$37</f>
        <v>TSV Brunkensen I</v>
      </c>
      <c r="E27" s="76" t="s">
        <v>21</v>
      </c>
      <c r="F27" s="75" t="str">
        <f>D39</f>
        <v>SSG Algermissen I</v>
      </c>
      <c r="G27" s="77">
        <v>3</v>
      </c>
      <c r="H27" s="78">
        <v>1</v>
      </c>
      <c r="I27" s="79">
        <v>93</v>
      </c>
      <c r="J27" s="80">
        <v>81</v>
      </c>
      <c r="K27" s="14"/>
      <c r="L27" s="15">
        <f>IF($G27+$H27&lt;&gt;4,"",IF($G27&gt;$H27,2,IF($G27=$H27,1,0)))</f>
        <v>2</v>
      </c>
      <c r="M27" s="16">
        <f>IF($G27+$H27&lt;&gt;4,"",2-$L27)</f>
        <v>0</v>
      </c>
      <c r="N27" s="17">
        <f t="shared" si="0"/>
      </c>
    </row>
    <row r="28" spans="1:14" ht="12.75" customHeight="1">
      <c r="A28" s="72">
        <v>18</v>
      </c>
      <c r="B28" s="73" t="s">
        <v>34</v>
      </c>
      <c r="C28" s="74" t="s">
        <v>177</v>
      </c>
      <c r="D28" s="75" t="str">
        <f>$D$38</f>
        <v>DJK B-W Hildesheim</v>
      </c>
      <c r="E28" s="76" t="s">
        <v>21</v>
      </c>
      <c r="F28" s="75" t="s">
        <v>37</v>
      </c>
      <c r="G28" s="77">
        <v>2</v>
      </c>
      <c r="H28" s="78">
        <v>2</v>
      </c>
      <c r="I28" s="79">
        <v>93</v>
      </c>
      <c r="J28" s="80">
        <v>92</v>
      </c>
      <c r="K28" s="17"/>
      <c r="L28" s="15">
        <f>IF($G28+$H28&lt;&gt;4,"",IF($G28&gt;$H28,2,IF($G28=$H28,1,0)))</f>
        <v>1</v>
      </c>
      <c r="M28" s="16">
        <f>IF($G28+$H28&lt;&gt;4,"",2-$L28)</f>
        <v>1</v>
      </c>
      <c r="N28" s="17">
        <f t="shared" si="0"/>
      </c>
    </row>
    <row r="29" spans="1:14" ht="12.75" customHeight="1">
      <c r="A29" s="85"/>
      <c r="B29" s="86"/>
      <c r="C29" s="86"/>
      <c r="D29" s="86"/>
      <c r="E29" s="86"/>
      <c r="F29" s="86"/>
      <c r="G29" s="81"/>
      <c r="H29" s="82"/>
      <c r="I29" s="83"/>
      <c r="J29" s="84"/>
      <c r="K29" s="27"/>
      <c r="L29" s="25"/>
      <c r="M29" s="26"/>
      <c r="N29" s="28"/>
    </row>
    <row r="30" spans="1:14" ht="12.75" customHeight="1">
      <c r="A30" s="72">
        <v>19</v>
      </c>
      <c r="B30" s="73" t="s">
        <v>32</v>
      </c>
      <c r="C30" s="74" t="s">
        <v>78</v>
      </c>
      <c r="D30" s="75" t="str">
        <f>D39</f>
        <v>SSG Algermissen I</v>
      </c>
      <c r="E30" s="76" t="s">
        <v>21</v>
      </c>
      <c r="F30" s="75" t="str">
        <f>$D$38</f>
        <v>DJK B-W Hildesheim</v>
      </c>
      <c r="G30" s="77">
        <v>4</v>
      </c>
      <c r="H30" s="78">
        <v>0</v>
      </c>
      <c r="I30" s="79">
        <v>100</v>
      </c>
      <c r="J30" s="80">
        <v>77</v>
      </c>
      <c r="K30" s="14"/>
      <c r="L30" s="15">
        <f>IF($G30+$H30&lt;&gt;4,"",IF($G30&gt;$H30,2,IF($G30=$H30,1,0)))</f>
        <v>2</v>
      </c>
      <c r="M30" s="16">
        <f>IF($G30+$H30&lt;&gt;4,"",2-$L30)</f>
        <v>0</v>
      </c>
      <c r="N30" s="17">
        <f t="shared" si="0"/>
      </c>
    </row>
    <row r="31" spans="1:14" ht="12.75" customHeight="1">
      <c r="A31" s="72">
        <v>20</v>
      </c>
      <c r="B31" s="73" t="s">
        <v>29</v>
      </c>
      <c r="C31" s="74" t="s">
        <v>79</v>
      </c>
      <c r="D31" s="75" t="str">
        <f>D35</f>
        <v>FSB Hildesheim I</v>
      </c>
      <c r="E31" s="76" t="s">
        <v>21</v>
      </c>
      <c r="F31" s="75" t="str">
        <f>$D$37</f>
        <v>TSV Brunkensen I</v>
      </c>
      <c r="G31" s="77">
        <v>3</v>
      </c>
      <c r="H31" s="78">
        <v>1</v>
      </c>
      <c r="I31" s="79">
        <v>98</v>
      </c>
      <c r="J31" s="80">
        <v>75</v>
      </c>
      <c r="K31" s="17"/>
      <c r="L31" s="15">
        <f>IF($G31+$H31&lt;&gt;4,"",IF($G31&gt;$H31,2,IF($G31=$H31,1,0)))</f>
        <v>2</v>
      </c>
      <c r="M31" s="16">
        <f>IF($G31+$H31&lt;&gt;4,"",2-$L31)</f>
        <v>0</v>
      </c>
      <c r="N31" s="17">
        <f t="shared" si="0"/>
      </c>
    </row>
    <row r="32" spans="1:13" ht="12.75" customHeight="1">
      <c r="A32" s="38"/>
      <c r="B32" s="38"/>
      <c r="C32" s="39"/>
      <c r="D32" s="40"/>
      <c r="E32" s="41"/>
      <c r="F32" s="42"/>
      <c r="L32" s="29"/>
      <c r="M32" s="29"/>
    </row>
    <row r="33" spans="1:35" s="48" customFormat="1" ht="12.75" customHeight="1">
      <c r="A33" s="33" t="s">
        <v>22</v>
      </c>
      <c r="B33" s="43"/>
      <c r="C33" s="43"/>
      <c r="D33" s="44"/>
      <c r="E33" s="45"/>
      <c r="F33" s="44"/>
      <c r="G33" s="185">
        <f>SUM(G3:H32)</f>
        <v>80</v>
      </c>
      <c r="H33" s="185"/>
      <c r="I33" s="185">
        <f>SUM(I3:J32)</f>
        <v>3515</v>
      </c>
      <c r="J33" s="185"/>
      <c r="K33" s="47"/>
      <c r="L33" s="185">
        <f>SUM(L3:M32)</f>
        <v>40</v>
      </c>
      <c r="M33" s="185"/>
      <c r="N33" s="36"/>
      <c r="O33" s="34"/>
      <c r="P33" s="34"/>
      <c r="Q33" s="34"/>
      <c r="R33" s="34"/>
      <c r="S33" s="34"/>
      <c r="T33" s="34"/>
      <c r="U33" s="34"/>
      <c r="V33" s="34"/>
      <c r="W33" s="34"/>
      <c r="X33" s="14"/>
      <c r="Y33" s="14"/>
      <c r="Z33" s="14"/>
      <c r="AA33" s="14"/>
      <c r="AB33" s="14"/>
      <c r="AC33" s="31"/>
      <c r="AD33" s="31"/>
      <c r="AE33" s="31"/>
      <c r="AF33" s="31"/>
      <c r="AG33" s="31"/>
      <c r="AH33" s="31"/>
      <c r="AI33" s="37"/>
    </row>
    <row r="34" spans="4:6" ht="12.75">
      <c r="D34" s="42"/>
      <c r="E34" s="41"/>
      <c r="F34" s="42"/>
    </row>
    <row r="35" spans="1:34" ht="12.75">
      <c r="A35" s="50" t="s">
        <v>23</v>
      </c>
      <c r="B35" s="51"/>
      <c r="C35" s="52"/>
      <c r="D35" s="53" t="s">
        <v>30</v>
      </c>
      <c r="E35" s="41"/>
      <c r="F35" s="42"/>
      <c r="AD35" s="54" t="s">
        <v>24</v>
      </c>
      <c r="AE35" s="55"/>
      <c r="AF35" s="55"/>
      <c r="AG35" s="55"/>
      <c r="AH35" s="56"/>
    </row>
    <row r="36" spans="1:34" ht="12.75">
      <c r="A36" s="57"/>
      <c r="B36" s="57"/>
      <c r="C36" s="58"/>
      <c r="D36" s="53" t="s">
        <v>37</v>
      </c>
      <c r="E36" s="41"/>
      <c r="F36" s="42"/>
      <c r="AD36" s="59" t="s">
        <v>25</v>
      </c>
      <c r="AE36" s="60"/>
      <c r="AF36" s="60"/>
      <c r="AG36" s="60"/>
      <c r="AH36" s="61"/>
    </row>
    <row r="37" spans="1:34" ht="12.75">
      <c r="A37" s="62"/>
      <c r="B37" s="62"/>
      <c r="C37" s="63"/>
      <c r="D37" s="53" t="s">
        <v>65</v>
      </c>
      <c r="E37" s="41"/>
      <c r="F37" s="42"/>
      <c r="AD37" s="59" t="s">
        <v>26</v>
      </c>
      <c r="AE37" s="60"/>
      <c r="AF37" s="60"/>
      <c r="AG37" s="60"/>
      <c r="AH37" s="61"/>
    </row>
    <row r="38" spans="1:34" ht="12.75">
      <c r="A38" s="62"/>
      <c r="B38" s="62"/>
      <c r="C38" s="63"/>
      <c r="D38" s="53" t="s">
        <v>61</v>
      </c>
      <c r="E38" s="41"/>
      <c r="F38" s="42"/>
      <c r="AD38" s="59" t="s">
        <v>27</v>
      </c>
      <c r="AE38" s="60"/>
      <c r="AF38" s="60"/>
      <c r="AG38" s="60"/>
      <c r="AH38" s="61"/>
    </row>
    <row r="39" spans="4:34" ht="12.75">
      <c r="D39" s="53" t="s">
        <v>31</v>
      </c>
      <c r="E39" s="41"/>
      <c r="F39" s="42"/>
      <c r="AD39" s="64" t="s">
        <v>28</v>
      </c>
      <c r="AE39" s="65"/>
      <c r="AF39" s="65"/>
      <c r="AG39" s="65"/>
      <c r="AH39" s="66"/>
    </row>
  </sheetData>
  <sheetProtection/>
  <mergeCells count="12">
    <mergeCell ref="G33:H33"/>
    <mergeCell ref="I33:J33"/>
    <mergeCell ref="L33:M33"/>
    <mergeCell ref="A1:F1"/>
    <mergeCell ref="G1:J1"/>
    <mergeCell ref="L1:M1"/>
    <mergeCell ref="O1:AA1"/>
    <mergeCell ref="AC1:AH1"/>
    <mergeCell ref="D2:F2"/>
    <mergeCell ref="G2:H2"/>
    <mergeCell ref="I2:J2"/>
    <mergeCell ref="L2:M2"/>
  </mergeCells>
  <printOptions/>
  <pageMargins left="0.46" right="0.1968503937007874" top="0.5905511811023623" bottom="0.38" header="0.5118110236220472" footer="0.31"/>
  <pageSetup fitToHeight="1" fitToWidth="1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3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F48" sqref="F48"/>
    </sheetView>
  </sheetViews>
  <sheetFormatPr defaultColWidth="11.421875" defaultRowHeight="12.75"/>
  <cols>
    <col min="1" max="1" width="5.57421875" style="49" customWidth="1"/>
    <col min="2" max="2" width="3.7109375" style="49" customWidth="1"/>
    <col min="3" max="3" width="10.57421875" style="49" customWidth="1"/>
    <col min="4" max="4" width="20.00390625" style="49" customWidth="1"/>
    <col min="5" max="5" width="2.57421875" style="67" customWidth="1"/>
    <col min="6" max="6" width="20.140625" style="49" customWidth="1"/>
    <col min="7" max="7" width="4.7109375" style="29" customWidth="1"/>
    <col min="8" max="8" width="4.421875" style="29" customWidth="1"/>
    <col min="9" max="9" width="5.57421875" style="34" customWidth="1"/>
    <col min="10" max="10" width="5.8515625" style="34" customWidth="1"/>
    <col min="11" max="11" width="0.71875" style="34" customWidth="1"/>
    <col min="12" max="13" width="5.8515625" style="34" customWidth="1"/>
    <col min="14" max="14" width="3.7109375" style="14" customWidth="1"/>
    <col min="15" max="15" width="5.140625" style="34" hidden="1" customWidth="1"/>
    <col min="16" max="16" width="20.7109375" style="34" hidden="1" customWidth="1"/>
    <col min="17" max="17" width="5.8515625" style="34" hidden="1" customWidth="1"/>
    <col min="18" max="23" width="5.57421875" style="34" hidden="1" customWidth="1"/>
    <col min="24" max="26" width="5.57421875" style="14" hidden="1" customWidth="1"/>
    <col min="27" max="27" width="9.57421875" style="14" hidden="1" customWidth="1"/>
    <col min="28" max="28" width="1.57421875" style="14" hidden="1" customWidth="1"/>
    <col min="29" max="29" width="5.421875" style="31" customWidth="1"/>
    <col min="30" max="30" width="20.57421875" style="31" bestFit="1" customWidth="1"/>
    <col min="31" max="31" width="5.8515625" style="31" customWidth="1"/>
    <col min="32" max="34" width="8.421875" style="31" customWidth="1"/>
    <col min="35" max="35" width="11.421875" style="31" customWidth="1"/>
  </cols>
  <sheetData>
    <row r="1" spans="1:38" s="5" customFormat="1" ht="21" customHeight="1">
      <c r="A1" s="186" t="s">
        <v>57</v>
      </c>
      <c r="B1" s="187"/>
      <c r="C1" s="187"/>
      <c r="D1" s="187"/>
      <c r="E1" s="187"/>
      <c r="F1" s="188"/>
      <c r="G1" s="189" t="s">
        <v>0</v>
      </c>
      <c r="H1" s="190"/>
      <c r="I1" s="190"/>
      <c r="J1" s="191"/>
      <c r="K1" s="1"/>
      <c r="L1" s="192" t="s">
        <v>1</v>
      </c>
      <c r="M1" s="193"/>
      <c r="N1" s="2"/>
      <c r="O1" s="170" t="s">
        <v>2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  <c r="AB1" s="3"/>
      <c r="AC1" s="173" t="s">
        <v>145</v>
      </c>
      <c r="AD1" s="174"/>
      <c r="AE1" s="174"/>
      <c r="AF1" s="174"/>
      <c r="AG1" s="174"/>
      <c r="AH1" s="175"/>
      <c r="AI1" s="4"/>
      <c r="AJ1" s="4"/>
      <c r="AK1" s="4"/>
      <c r="AL1" s="4"/>
    </row>
    <row r="2" spans="1:35" s="13" customFormat="1" ht="35.25" customHeight="1">
      <c r="A2" s="69" t="s">
        <v>3</v>
      </c>
      <c r="B2" s="70" t="s">
        <v>4</v>
      </c>
      <c r="C2" s="71" t="s">
        <v>5</v>
      </c>
      <c r="D2" s="176" t="str">
        <f>IF(D35="","Bitte zuerst die 5 Mannschaftsnamen unten ab Zeile 35 eingeben","Spielpaarung")</f>
        <v>Spielpaarung</v>
      </c>
      <c r="E2" s="177"/>
      <c r="F2" s="178"/>
      <c r="G2" s="179" t="s">
        <v>6</v>
      </c>
      <c r="H2" s="180"/>
      <c r="I2" s="181" t="s">
        <v>7</v>
      </c>
      <c r="J2" s="182"/>
      <c r="K2" s="6"/>
      <c r="L2" s="183" t="s">
        <v>8</v>
      </c>
      <c r="M2" s="184"/>
      <c r="N2" s="6"/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7" t="s">
        <v>8</v>
      </c>
      <c r="U2" s="8" t="s">
        <v>14</v>
      </c>
      <c r="V2" s="9" t="s">
        <v>15</v>
      </c>
      <c r="W2" s="7" t="s">
        <v>16</v>
      </c>
      <c r="X2" s="9" t="s">
        <v>17</v>
      </c>
      <c r="Y2" s="9" t="s">
        <v>18</v>
      </c>
      <c r="Z2" s="7" t="s">
        <v>19</v>
      </c>
      <c r="AA2" s="10" t="s">
        <v>20</v>
      </c>
      <c r="AB2" s="11"/>
      <c r="AC2" s="12" t="s">
        <v>9</v>
      </c>
      <c r="AD2" s="12" t="s">
        <v>10</v>
      </c>
      <c r="AE2" s="12" t="s">
        <v>11</v>
      </c>
      <c r="AF2" s="12" t="s">
        <v>8</v>
      </c>
      <c r="AG2" s="12" t="s">
        <v>16</v>
      </c>
      <c r="AH2" s="12" t="s">
        <v>19</v>
      </c>
      <c r="AI2" s="4"/>
    </row>
    <row r="3" spans="1:35" ht="12.75" customHeight="1">
      <c r="A3" s="72">
        <v>1</v>
      </c>
      <c r="B3" s="73" t="s">
        <v>40</v>
      </c>
      <c r="C3" s="74" t="s">
        <v>152</v>
      </c>
      <c r="D3" s="102" t="str">
        <f>$D$35</f>
        <v>SV Wendhausen</v>
      </c>
      <c r="E3" s="76" t="s">
        <v>21</v>
      </c>
      <c r="F3" s="75" t="str">
        <f>$D$38</f>
        <v>VSG Röss/ Nordstemmen</v>
      </c>
      <c r="G3" s="77">
        <v>3</v>
      </c>
      <c r="H3" s="78">
        <v>1</v>
      </c>
      <c r="I3" s="79">
        <v>97</v>
      </c>
      <c r="J3" s="80">
        <v>91</v>
      </c>
      <c r="K3" s="14"/>
      <c r="L3" s="15">
        <f>IF($G3+$H3&lt;&gt;4,"",IF($G3&gt;$H3,2,IF($G3=$H3,1,0)))</f>
        <v>2</v>
      </c>
      <c r="M3" s="16">
        <f>IF($G3+$H3&lt;&gt;4,"",2-$L3)</f>
        <v>0</v>
      </c>
      <c r="N3" s="17">
        <f aca="true" t="shared" si="0" ref="N3:N31">IF(AND(G3&lt;&gt;"",H3&lt;&gt;"",G3+H3&lt;&gt;4),"!!!","")</f>
      </c>
      <c r="O3" s="18">
        <f>RANK(AA3,$AA$3:$AA$7)</f>
        <v>3</v>
      </c>
      <c r="P3" s="19" t="str">
        <f>D35</f>
        <v>SV Wendhausen</v>
      </c>
      <c r="Q3" s="18">
        <f>(R3+S3)/2</f>
        <v>8</v>
      </c>
      <c r="R3" s="20">
        <f>SUMIF($D$3:$D$31,$P3,$L$3:$L$31)+SUMIF($F$3:$F$31,$P3,$M$3:$M$31)</f>
        <v>8</v>
      </c>
      <c r="S3" s="21">
        <f>SUMIF($D$3:$D$31,$P3,$M$3:$M$31)+SUMIF($F$3:$F$31,$P3,$L$3:$L$31)</f>
        <v>8</v>
      </c>
      <c r="T3" s="18" t="str">
        <f>R3&amp;" : "&amp;S3</f>
        <v>8 : 8</v>
      </c>
      <c r="U3" s="20">
        <f>SUMIF($D$3:$D$31,$P3,$G$3:$G$31)+SUMIF($F$3:$F$31,$P3,$H$3:$H$31)</f>
        <v>16</v>
      </c>
      <c r="V3" s="21">
        <f>SUMIF($D$3:$D$31,$P3,$H$3:$H$31)+SUMIF($F$3:$F$31,$P3,$G$3:$G$31)</f>
        <v>16</v>
      </c>
      <c r="W3" s="18" t="str">
        <f>U3&amp;" : "&amp;V3</f>
        <v>16 : 16</v>
      </c>
      <c r="X3" s="20">
        <f>SUMIF($D$3:$D$31,$P3,$I$3:$I$31)+SUMIF($F$3:$F$31,$P3,$J$3:$J$31)</f>
        <v>707</v>
      </c>
      <c r="Y3" s="21">
        <f>SUMIF($D$3:$D$31,$P3,$J$3:$J$31)+SUMIF($F$3:$F$31,$P3,$I$3:$I$31)</f>
        <v>712</v>
      </c>
      <c r="Z3" s="18" t="str">
        <f>X3&amp;" : "&amp;Y3</f>
        <v>707 : 712</v>
      </c>
      <c r="AA3" s="22">
        <f>R3*1000000000+(R3-S3)*10000000+(U3-V3)*10000+(X3-Y3)-ROW(P3)/100</f>
        <v>7999999994.97</v>
      </c>
      <c r="AB3" s="11"/>
      <c r="AC3" s="23">
        <v>1</v>
      </c>
      <c r="AD3" s="24" t="str">
        <f>VLOOKUP($AC3,$O$3:$P$7,2,FALSE)</f>
        <v>VfV Hildesheim </v>
      </c>
      <c r="AE3" s="23">
        <f>VLOOKUP($AC3,$O$3:$Z$7,3,FALSE)</f>
        <v>8</v>
      </c>
      <c r="AF3" s="23" t="str">
        <f>VLOOKUP($AC3,$O$3:$Z$7,6,FALSE)</f>
        <v>11 : 5</v>
      </c>
      <c r="AG3" s="23" t="str">
        <f>VLOOKUP($AC3,$O$3:$Z$7,9,FALSE)</f>
        <v>19 : 13</v>
      </c>
      <c r="AH3" s="23" t="str">
        <f>VLOOKUP($AC3,$O$3:$Z$7,12,FALSE)</f>
        <v>739 : 674</v>
      </c>
      <c r="AI3"/>
    </row>
    <row r="4" spans="1:35" ht="12.75" customHeight="1">
      <c r="A4" s="72">
        <v>2</v>
      </c>
      <c r="B4" s="73" t="s">
        <v>35</v>
      </c>
      <c r="C4" s="74" t="s">
        <v>64</v>
      </c>
      <c r="D4" s="75" t="str">
        <f>$D$37</f>
        <v>VfV Hildesheim </v>
      </c>
      <c r="E4" s="76" t="s">
        <v>21</v>
      </c>
      <c r="F4" s="75" t="str">
        <f>$D$36</f>
        <v>SSG Algermissen II</v>
      </c>
      <c r="G4" s="77">
        <v>3</v>
      </c>
      <c r="H4" s="78">
        <v>1</v>
      </c>
      <c r="I4" s="79">
        <v>88</v>
      </c>
      <c r="J4" s="80">
        <v>81</v>
      </c>
      <c r="K4" s="17"/>
      <c r="L4" s="15">
        <f>IF($G4+$H4&lt;&gt;4,"",IF($G4&gt;$H4,2,IF($G4=$H4,1,0)))</f>
        <v>2</v>
      </c>
      <c r="M4" s="16">
        <f>IF($G4+$H4&lt;&gt;4,"",2-$L4)</f>
        <v>0</v>
      </c>
      <c r="N4" s="17">
        <f t="shared" si="0"/>
      </c>
      <c r="O4" s="18">
        <f>RANK(AA4,$AA$3:$AA$7)</f>
        <v>5</v>
      </c>
      <c r="P4" s="19" t="str">
        <f>D36</f>
        <v>SSG Algermissen II</v>
      </c>
      <c r="Q4" s="18">
        <f>(R4+S4)/2</f>
        <v>8</v>
      </c>
      <c r="R4" s="20">
        <f>SUMIF($D$3:$D$31,$P4,$L$3:$L$31)+SUMIF($F$3:$F$31,$P4,$M$3:$M$31)</f>
        <v>3</v>
      </c>
      <c r="S4" s="21">
        <f>SUMIF($D$3:$D$31,$P4,$M$3:$M$31)+SUMIF($F$3:$F$31,$P4,$L$3:$L$31)</f>
        <v>13</v>
      </c>
      <c r="T4" s="18" t="str">
        <f>R4&amp;" : "&amp;S4</f>
        <v>3 : 13</v>
      </c>
      <c r="U4" s="20">
        <f>SUMIF($D$3:$D$31,$P4,$G$3:$G$31)+SUMIF($F$3:$F$31,$P4,$H$3:$H$31)</f>
        <v>10</v>
      </c>
      <c r="V4" s="21">
        <f>SUMIF($D$3:$D$31,$P4,$H$3:$H$31)+SUMIF($F$3:$F$31,$P4,$G$3:$G$31)</f>
        <v>22</v>
      </c>
      <c r="W4" s="18" t="str">
        <f>U4&amp;" : "&amp;V4</f>
        <v>10 : 22</v>
      </c>
      <c r="X4" s="20">
        <f>SUMIF($D$3:$D$31,$P4,$I$3:$I$31)+SUMIF($F$3:$F$31,$P4,$J$3:$J$31)</f>
        <v>635</v>
      </c>
      <c r="Y4" s="21">
        <f>SUMIF($D$3:$D$31,$P4,$J$3:$J$31)+SUMIF($F$3:$F$31,$P4,$I$3:$I$31)</f>
        <v>748</v>
      </c>
      <c r="Z4" s="18" t="str">
        <f>X4&amp;" : "&amp;Y4</f>
        <v>635 : 748</v>
      </c>
      <c r="AA4" s="22">
        <f>R4*1000000000+(R4-S4)*10000000+(U4-V4)*10000+(X4-Y4)-ROW(P4)/100</f>
        <v>2899879886.96</v>
      </c>
      <c r="AB4" s="11"/>
      <c r="AC4" s="23">
        <v>2</v>
      </c>
      <c r="AD4" s="24" t="str">
        <f>VLOOKUP($AC4,$O$3:$Z$7,2,FALSE)</f>
        <v>VSG Röss/ Nordstemmen</v>
      </c>
      <c r="AE4" s="23">
        <f>VLOOKUP($AC4,$O$3:$Z$7,3,FALSE)</f>
        <v>8</v>
      </c>
      <c r="AF4" s="23" t="str">
        <f>VLOOKUP($AC4,$O$3:$Z$7,6,FALSE)</f>
        <v>10 : 6</v>
      </c>
      <c r="AG4" s="23" t="str">
        <f>VLOOKUP($AC4,$O$3:$Z$7,9,FALSE)</f>
        <v>20 : 12</v>
      </c>
      <c r="AH4" s="23" t="str">
        <f>VLOOKUP($AC4,$O$3:$Z$7,12,FALSE)</f>
        <v>751 : 687</v>
      </c>
      <c r="AI4"/>
    </row>
    <row r="5" spans="1:35" ht="12.75" customHeight="1">
      <c r="A5" s="85"/>
      <c r="B5" s="86"/>
      <c r="C5" s="86"/>
      <c r="D5" s="86"/>
      <c r="E5" s="86"/>
      <c r="F5" s="86"/>
      <c r="G5" s="81"/>
      <c r="H5" s="82"/>
      <c r="I5" s="83"/>
      <c r="J5" s="84"/>
      <c r="K5" s="27"/>
      <c r="L5" s="25"/>
      <c r="M5" s="26"/>
      <c r="N5" s="28"/>
      <c r="O5" s="18">
        <f>RANK(AA5,$AA$3:$AA$7)</f>
        <v>1</v>
      </c>
      <c r="P5" s="19" t="str">
        <f>D37</f>
        <v>VfV Hildesheim </v>
      </c>
      <c r="Q5" s="18">
        <f>(R5+S5)/2</f>
        <v>8</v>
      </c>
      <c r="R5" s="20">
        <f>SUMIF($D$3:$D$31,$P5,$L$3:$L$31)+SUMIF($F$3:$F$31,$P5,$M$3:$M$31)</f>
        <v>11</v>
      </c>
      <c r="S5" s="21">
        <f>SUMIF($D$3:$D$31,$P5,$M$3:$M$31)+SUMIF($F$3:$F$31,$P5,$L$3:$L$31)</f>
        <v>5</v>
      </c>
      <c r="T5" s="18" t="str">
        <f>R5&amp;" : "&amp;S5</f>
        <v>11 : 5</v>
      </c>
      <c r="U5" s="20">
        <f>SUMIF($D$3:$D$31,$P5,$G$3:$G$31)+SUMIF($F$3:$F$31,$P5,$H$3:$H$31)</f>
        <v>19</v>
      </c>
      <c r="V5" s="21">
        <f>SUMIF($D$3:$D$31,$P5,$H$3:$H$31)+SUMIF($F$3:$F$31,$P5,$G$3:$G$31)</f>
        <v>13</v>
      </c>
      <c r="W5" s="18" t="str">
        <f>U5&amp;" : "&amp;V5</f>
        <v>19 : 13</v>
      </c>
      <c r="X5" s="20">
        <f>SUMIF($D$3:$D$31,$P5,$I$3:$I$31)+SUMIF($F$3:$F$31,$P5,$J$3:$J$31)</f>
        <v>739</v>
      </c>
      <c r="Y5" s="21">
        <f>SUMIF($D$3:$D$31,$P5,$J$3:$J$31)+SUMIF($F$3:$F$31,$P5,$I$3:$I$31)</f>
        <v>674</v>
      </c>
      <c r="Z5" s="18" t="str">
        <f>X5&amp;" : "&amp;Y5</f>
        <v>739 : 674</v>
      </c>
      <c r="AA5" s="22">
        <f>R5*1000000000+(R5-S5)*10000000+(U5-V5)*10000+(X5-Y5)-ROW(P5)/100</f>
        <v>11060060064.95</v>
      </c>
      <c r="AB5" s="11"/>
      <c r="AC5" s="23">
        <v>3</v>
      </c>
      <c r="AD5" s="24" t="str">
        <f>VLOOKUP($AC5,$O$3:$Z$7,2,FALSE)</f>
        <v>SV Wendhausen</v>
      </c>
      <c r="AE5" s="23">
        <f>VLOOKUP($AC5,$O$3:$Z$7,3,FALSE)</f>
        <v>8</v>
      </c>
      <c r="AF5" s="23" t="str">
        <f>VLOOKUP($AC5,$O$3:$Z$7,6,FALSE)</f>
        <v>8 : 8</v>
      </c>
      <c r="AG5" s="23" t="str">
        <f>VLOOKUP($AC5,$O$3:$Z$7,9,FALSE)</f>
        <v>16 : 16</v>
      </c>
      <c r="AH5" s="23" t="str">
        <f>VLOOKUP($AC5,$O$3:$Z$7,12,FALSE)</f>
        <v>707 : 712</v>
      </c>
      <c r="AI5"/>
    </row>
    <row r="6" spans="1:35" ht="12.75" customHeight="1">
      <c r="A6" s="72">
        <v>3</v>
      </c>
      <c r="B6" s="73" t="s">
        <v>29</v>
      </c>
      <c r="C6" s="74" t="s">
        <v>80</v>
      </c>
      <c r="D6" s="75" t="str">
        <f>$D$39</f>
        <v>FSB Hildesheim II</v>
      </c>
      <c r="E6" s="76" t="s">
        <v>21</v>
      </c>
      <c r="F6" s="75" t="str">
        <f>$D$35</f>
        <v>SV Wendhausen</v>
      </c>
      <c r="G6" s="77">
        <v>2</v>
      </c>
      <c r="H6" s="78">
        <v>2</v>
      </c>
      <c r="I6" s="79">
        <v>92</v>
      </c>
      <c r="J6" s="80">
        <v>79</v>
      </c>
      <c r="K6" s="14"/>
      <c r="L6" s="15">
        <f>IF($G6+$H6&lt;&gt;4,"",IF($G6&gt;$H6,2,IF($G6=$H6,1,0)))</f>
        <v>1</v>
      </c>
      <c r="M6" s="16">
        <f>IF($G6+$H6&lt;&gt;4,"",2-$L6)</f>
        <v>1</v>
      </c>
      <c r="N6" s="17">
        <f t="shared" si="0"/>
      </c>
      <c r="O6" s="18">
        <f>RANK(AA6,$AA$3:$AA$7)</f>
        <v>2</v>
      </c>
      <c r="P6" s="19" t="str">
        <f>D38</f>
        <v>VSG Röss/ Nordstemmen</v>
      </c>
      <c r="Q6" s="18">
        <f>(R6+S6)/2</f>
        <v>8</v>
      </c>
      <c r="R6" s="20">
        <f>SUMIF($D$3:$D$31,$P6,$L$3:$L$31)+SUMIF($F$3:$F$31,$P6,$M$3:$M$31)</f>
        <v>10</v>
      </c>
      <c r="S6" s="21">
        <f>SUMIF($D$3:$D$31,$P6,$M$3:$M$31)+SUMIF($F$3:$F$31,$P6,$L$3:$L$31)</f>
        <v>6</v>
      </c>
      <c r="T6" s="18" t="str">
        <f>R6&amp;" : "&amp;S6</f>
        <v>10 : 6</v>
      </c>
      <c r="U6" s="20">
        <f>SUMIF($D$3:$D$31,$P6,$G$3:$G$31)+SUMIF($F$3:$F$31,$P6,$H$3:$H$31)</f>
        <v>20</v>
      </c>
      <c r="V6" s="21">
        <f>SUMIF($D$3:$D$31,$P6,$H$3:$H$31)+SUMIF($F$3:$F$31,$P6,$G$3:$G$31)</f>
        <v>12</v>
      </c>
      <c r="W6" s="18" t="str">
        <f>U6&amp;" : "&amp;V6</f>
        <v>20 : 12</v>
      </c>
      <c r="X6" s="20">
        <f>SUMIF($D$3:$D$31,$P6,$I$3:$I$31)+SUMIF($F$3:$F$31,$P6,$J$3:$J$31)</f>
        <v>751</v>
      </c>
      <c r="Y6" s="21">
        <f>SUMIF($D$3:$D$31,$P6,$J$3:$J$31)+SUMIF($F$3:$F$31,$P6,$I$3:$I$31)</f>
        <v>687</v>
      </c>
      <c r="Z6" s="18" t="str">
        <f>X6&amp;" : "&amp;Y6</f>
        <v>751 : 687</v>
      </c>
      <c r="AA6" s="22">
        <f>R6*1000000000+(R6-S6)*10000000+(U6-V6)*10000+(X6-Y6)-ROW(P6)/100</f>
        <v>10040080063.94</v>
      </c>
      <c r="AB6" s="11"/>
      <c r="AC6" s="23">
        <v>4</v>
      </c>
      <c r="AD6" s="24" t="str">
        <f>VLOOKUP($AC6,$O$3:$Z$7,2,FALSE)</f>
        <v>FSB Hildesheim II</v>
      </c>
      <c r="AE6" s="23">
        <f>VLOOKUP($AC6,$O$3:$Z$7,3,FALSE)</f>
        <v>8</v>
      </c>
      <c r="AF6" s="23" t="str">
        <f>VLOOKUP($AC6,$O$3:$Z$7,6,FALSE)</f>
        <v>8 : 8</v>
      </c>
      <c r="AG6" s="23" t="str">
        <f>VLOOKUP($AC6,$O$3:$Z$7,9,FALSE)</f>
        <v>15 : 17</v>
      </c>
      <c r="AH6" s="23" t="str">
        <f>VLOOKUP($AC6,$O$3:$Z$7,12,FALSE)</f>
        <v>691 : 702</v>
      </c>
      <c r="AI6"/>
    </row>
    <row r="7" spans="1:35" ht="12.75" customHeight="1">
      <c r="A7" s="72">
        <v>4</v>
      </c>
      <c r="B7" s="73" t="s">
        <v>40</v>
      </c>
      <c r="C7" s="74" t="s">
        <v>97</v>
      </c>
      <c r="D7" s="75" t="str">
        <f>$D$38</f>
        <v>VSG Röss/ Nordstemmen</v>
      </c>
      <c r="E7" s="76" t="s">
        <v>21</v>
      </c>
      <c r="F7" s="75" t="str">
        <f>$D$37</f>
        <v>VfV Hildesheim </v>
      </c>
      <c r="G7" s="77">
        <v>4</v>
      </c>
      <c r="H7" s="78">
        <v>0</v>
      </c>
      <c r="I7" s="79">
        <v>100</v>
      </c>
      <c r="J7" s="80">
        <v>88</v>
      </c>
      <c r="K7" s="17"/>
      <c r="L7" s="15">
        <f>IF($G7+$H7&lt;&gt;4,"",IF($G7&gt;$H7,2,IF($G7=$H7,1,0)))</f>
        <v>2</v>
      </c>
      <c r="M7" s="16">
        <f>IF($G7+$H7&lt;&gt;4,"",2-$L7)</f>
        <v>0</v>
      </c>
      <c r="N7" s="17">
        <f t="shared" si="0"/>
      </c>
      <c r="O7" s="18">
        <f>RANK(AA7,$AA$3:$AA$7)</f>
        <v>4</v>
      </c>
      <c r="P7" s="19" t="str">
        <f>D39</f>
        <v>FSB Hildesheim II</v>
      </c>
      <c r="Q7" s="18">
        <f>(R7+S7)/2</f>
        <v>8</v>
      </c>
      <c r="R7" s="20">
        <f>SUMIF($D$3:$D$31,$P7,$L$3:$L$31)+SUMIF($F$3:$F$31,$P7,$M$3:$M$31)</f>
        <v>8</v>
      </c>
      <c r="S7" s="21">
        <f>SUMIF($D$3:$D$31,$P7,$M$3:$M$31)+SUMIF($F$3:$F$31,$P7,$L$3:$L$31)</f>
        <v>8</v>
      </c>
      <c r="T7" s="18" t="str">
        <f>R7&amp;" : "&amp;S7</f>
        <v>8 : 8</v>
      </c>
      <c r="U7" s="20">
        <f>SUMIF($D$3:$D$31,$P7,$G$3:$G$31)+SUMIF($F$3:$F$31,$P7,$H$3:$H$31)</f>
        <v>15</v>
      </c>
      <c r="V7" s="21">
        <f>SUMIF($D$3:$D$31,$P7,$H$3:$H$31)+SUMIF($F$3:$F$31,$P7,$G$3:$G$31)</f>
        <v>17</v>
      </c>
      <c r="W7" s="18" t="str">
        <f>U7&amp;" : "&amp;V7</f>
        <v>15 : 17</v>
      </c>
      <c r="X7" s="20">
        <f>SUMIF($D$3:$D$31,$P7,$I$3:$I$31)+SUMIF($F$3:$F$31,$P7,$J$3:$J$31)</f>
        <v>691</v>
      </c>
      <c r="Y7" s="21">
        <f>SUMIF($D$3:$D$31,$P7,$J$3:$J$31)+SUMIF($F$3:$F$31,$P7,$I$3:$I$31)</f>
        <v>702</v>
      </c>
      <c r="Z7" s="18" t="str">
        <f>X7&amp;" : "&amp;Y7</f>
        <v>691 : 702</v>
      </c>
      <c r="AA7" s="22">
        <f>R7*1000000000+(R7-S7)*10000000+(U7-V7)*10000+(X7-Y7)-ROW(P7)/100</f>
        <v>7999979988.93</v>
      </c>
      <c r="AB7" s="11"/>
      <c r="AC7" s="23">
        <v>5</v>
      </c>
      <c r="AD7" s="24" t="str">
        <f>VLOOKUP($AC7,$O$3:$Z$7,2,FALSE)</f>
        <v>SSG Algermissen II</v>
      </c>
      <c r="AE7" s="23">
        <f>VLOOKUP($AC7,$O$3:$Z$7,3,FALSE)</f>
        <v>8</v>
      </c>
      <c r="AF7" s="23" t="str">
        <f>VLOOKUP($AC7,$O$3:$Z$7,6,FALSE)</f>
        <v>3 : 13</v>
      </c>
      <c r="AG7" s="23" t="str">
        <f>VLOOKUP($AC7,$O$3:$Z$7,9,FALSE)</f>
        <v>10 : 22</v>
      </c>
      <c r="AH7" s="23" t="str">
        <f>VLOOKUP($AC7,$O$3:$Z$7,12,FALSE)</f>
        <v>635 : 748</v>
      </c>
      <c r="AI7"/>
    </row>
    <row r="8" spans="1:35" ht="12.75" customHeight="1">
      <c r="A8" s="85"/>
      <c r="B8" s="86"/>
      <c r="C8" s="86"/>
      <c r="D8" s="86"/>
      <c r="E8" s="86"/>
      <c r="F8" s="86"/>
      <c r="G8" s="81"/>
      <c r="H8" s="82"/>
      <c r="I8" s="83"/>
      <c r="J8" s="84"/>
      <c r="K8" s="27"/>
      <c r="L8" s="25"/>
      <c r="M8" s="26"/>
      <c r="N8" s="28"/>
      <c r="O8" s="29"/>
      <c r="P8" s="29"/>
      <c r="Q8" s="29"/>
      <c r="R8" s="29"/>
      <c r="S8" s="29"/>
      <c r="T8" s="29"/>
      <c r="U8" s="29"/>
      <c r="V8" s="29"/>
      <c r="W8" s="29"/>
      <c r="X8" s="11"/>
      <c r="Y8" s="11"/>
      <c r="Z8" s="11"/>
      <c r="AA8" s="11"/>
      <c r="AB8" s="11"/>
      <c r="AC8" s="30"/>
      <c r="AI8"/>
    </row>
    <row r="9" spans="1:34" ht="12.75" customHeight="1">
      <c r="A9" s="72">
        <v>5</v>
      </c>
      <c r="B9" s="73" t="s">
        <v>35</v>
      </c>
      <c r="C9" s="74" t="s">
        <v>82</v>
      </c>
      <c r="D9" s="102" t="str">
        <f>$D$35</f>
        <v>SV Wendhausen</v>
      </c>
      <c r="E9" s="76" t="s">
        <v>21</v>
      </c>
      <c r="F9" s="75" t="str">
        <f>$D$37</f>
        <v>VfV Hildesheim </v>
      </c>
      <c r="G9" s="77">
        <v>1</v>
      </c>
      <c r="H9" s="78">
        <v>3</v>
      </c>
      <c r="I9" s="79">
        <v>91</v>
      </c>
      <c r="J9" s="80">
        <v>99</v>
      </c>
      <c r="K9" s="14"/>
      <c r="L9" s="15">
        <f>IF($G9+$H9&lt;&gt;4,"",IF($G9&gt;$H9,2,IF($G9=$H9,1,0)))</f>
        <v>0</v>
      </c>
      <c r="M9" s="16">
        <f>IF($G9+$H9&lt;&gt;4,"",2-$L9)</f>
        <v>2</v>
      </c>
      <c r="N9" s="17">
        <f t="shared" si="0"/>
      </c>
      <c r="O9" s="29"/>
      <c r="P9" s="29"/>
      <c r="Q9" s="29"/>
      <c r="R9" s="29"/>
      <c r="S9" s="29"/>
      <c r="T9" s="29"/>
      <c r="U9" s="29"/>
      <c r="V9" s="29"/>
      <c r="W9" s="29"/>
      <c r="X9" s="11"/>
      <c r="Y9" s="11"/>
      <c r="Z9" s="11"/>
      <c r="AA9" s="11"/>
      <c r="AB9" s="11"/>
      <c r="AC9" s="32" t="s">
        <v>22</v>
      </c>
      <c r="AD9" s="30"/>
      <c r="AE9" s="30"/>
      <c r="AF9" s="46">
        <f>SUM(R$3:S7)/2</f>
        <v>40</v>
      </c>
      <c r="AG9" s="46">
        <f>SUM(U$3:V7)/2</f>
        <v>80</v>
      </c>
      <c r="AH9" s="46">
        <f>SUM(X$3:Y7)/2</f>
        <v>3523</v>
      </c>
    </row>
    <row r="10" spans="1:29" ht="12.75" customHeight="1">
      <c r="A10" s="72">
        <v>6</v>
      </c>
      <c r="B10" s="73" t="s">
        <v>32</v>
      </c>
      <c r="C10" s="74" t="s">
        <v>68</v>
      </c>
      <c r="D10" s="75" t="str">
        <f>$D$36</f>
        <v>SSG Algermissen II</v>
      </c>
      <c r="E10" s="76" t="s">
        <v>21</v>
      </c>
      <c r="F10" s="75" t="str">
        <f>$D$39</f>
        <v>FSB Hildesheim II</v>
      </c>
      <c r="G10" s="77">
        <v>3</v>
      </c>
      <c r="H10" s="78">
        <v>1</v>
      </c>
      <c r="I10" s="79">
        <v>97</v>
      </c>
      <c r="J10" s="80">
        <v>83</v>
      </c>
      <c r="K10" s="17"/>
      <c r="L10" s="15">
        <f>IF($G10+$H10&lt;&gt;4,"",IF($G10&gt;$H10,2,IF($G10=$H10,1,0)))</f>
        <v>2</v>
      </c>
      <c r="M10" s="16">
        <f>IF($G10+$H10&lt;&gt;4,"",2-$L10)</f>
        <v>0</v>
      </c>
      <c r="N10" s="17">
        <f t="shared" si="0"/>
      </c>
      <c r="O10" s="29"/>
      <c r="P10" s="29"/>
      <c r="Q10" s="29"/>
      <c r="R10" s="29"/>
      <c r="S10" s="29"/>
      <c r="T10" s="29"/>
      <c r="U10" s="29"/>
      <c r="V10" s="29"/>
      <c r="W10" s="29"/>
      <c r="X10" s="11"/>
      <c r="Y10" s="11"/>
      <c r="Z10" s="11"/>
      <c r="AA10" s="11"/>
      <c r="AB10" s="11"/>
      <c r="AC10" s="30"/>
    </row>
    <row r="11" spans="1:28" ht="12.75" customHeight="1">
      <c r="A11" s="85"/>
      <c r="B11" s="86"/>
      <c r="C11" s="86"/>
      <c r="D11" s="86"/>
      <c r="E11" s="86"/>
      <c r="F11" s="86"/>
      <c r="G11" s="81"/>
      <c r="H11" s="82"/>
      <c r="I11" s="83"/>
      <c r="J11" s="84"/>
      <c r="K11" s="27"/>
      <c r="L11" s="25"/>
      <c r="M11" s="26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11"/>
      <c r="Y11" s="11"/>
      <c r="Z11" s="11"/>
      <c r="AA11" s="11"/>
      <c r="AB11" s="11"/>
    </row>
    <row r="12" spans="1:28" ht="12.75" customHeight="1">
      <c r="A12" s="72">
        <v>7</v>
      </c>
      <c r="B12" s="73" t="s">
        <v>40</v>
      </c>
      <c r="C12" s="74" t="s">
        <v>83</v>
      </c>
      <c r="D12" s="75" t="str">
        <f>$D$38</f>
        <v>VSG Röss/ Nordstemmen</v>
      </c>
      <c r="E12" s="76" t="s">
        <v>21</v>
      </c>
      <c r="F12" s="75" t="str">
        <f>$D$36</f>
        <v>SSG Algermissen II</v>
      </c>
      <c r="G12" s="77">
        <v>3</v>
      </c>
      <c r="H12" s="78">
        <v>1</v>
      </c>
      <c r="I12" s="79">
        <v>98</v>
      </c>
      <c r="J12" s="80">
        <v>78</v>
      </c>
      <c r="K12" s="14"/>
      <c r="L12" s="15">
        <f>IF($G12+$H12&lt;&gt;4,"",IF($G12&gt;$H12,2,IF($G12=$H12,1,0)))</f>
        <v>2</v>
      </c>
      <c r="M12" s="16">
        <f>IF($G12+$H12&lt;&gt;4,"",2-$L12)</f>
        <v>0</v>
      </c>
      <c r="N12" s="17">
        <f t="shared" si="0"/>
      </c>
      <c r="O12" s="29"/>
      <c r="P12" s="29"/>
      <c r="Q12" s="29"/>
      <c r="R12" s="29"/>
      <c r="S12" s="29"/>
      <c r="T12" s="29"/>
      <c r="U12" s="29"/>
      <c r="V12" s="29"/>
      <c r="W12" s="29"/>
      <c r="X12" s="11"/>
      <c r="Y12" s="11"/>
      <c r="Z12" s="11"/>
      <c r="AA12" s="11"/>
      <c r="AB12" s="11"/>
    </row>
    <row r="13" spans="1:28" ht="12.75" customHeight="1">
      <c r="A13" s="72">
        <v>8</v>
      </c>
      <c r="B13" s="73" t="s">
        <v>35</v>
      </c>
      <c r="C13" s="74" t="s">
        <v>69</v>
      </c>
      <c r="D13" s="75" t="str">
        <f>$D$37</f>
        <v>VfV Hildesheim </v>
      </c>
      <c r="E13" s="76" t="s">
        <v>21</v>
      </c>
      <c r="F13" s="75" t="str">
        <f>$D$39</f>
        <v>FSB Hildesheim II</v>
      </c>
      <c r="G13" s="77">
        <v>1</v>
      </c>
      <c r="H13" s="78">
        <v>3</v>
      </c>
      <c r="I13" s="79">
        <v>79</v>
      </c>
      <c r="J13" s="80">
        <v>95</v>
      </c>
      <c r="K13" s="17"/>
      <c r="L13" s="15">
        <f>IF($G13+$H13&lt;&gt;4,"",IF($G13&gt;$H13,2,IF($G13=$H13,1,0)))</f>
        <v>0</v>
      </c>
      <c r="M13" s="16">
        <f>IF($G13+$H13&lt;&gt;4,"",2-$L13)</f>
        <v>2</v>
      </c>
      <c r="N13" s="17">
        <f t="shared" si="0"/>
      </c>
      <c r="O13" s="29"/>
      <c r="P13" s="29"/>
      <c r="Q13" s="29"/>
      <c r="R13" s="29"/>
      <c r="S13" s="29"/>
      <c r="T13" s="29"/>
      <c r="U13" s="29"/>
      <c r="V13" s="29"/>
      <c r="W13" s="29"/>
      <c r="X13" s="11"/>
      <c r="Y13" s="11"/>
      <c r="Z13" s="11"/>
      <c r="AA13" s="11"/>
      <c r="AB13" s="11"/>
    </row>
    <row r="14" spans="1:28" ht="12.75" customHeight="1">
      <c r="A14" s="85"/>
      <c r="B14" s="86"/>
      <c r="C14" s="86"/>
      <c r="D14" s="86"/>
      <c r="E14" s="86"/>
      <c r="F14" s="86"/>
      <c r="G14" s="81"/>
      <c r="H14" s="82"/>
      <c r="I14" s="83"/>
      <c r="J14" s="84"/>
      <c r="K14" s="27"/>
      <c r="L14" s="25"/>
      <c r="M14" s="26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11"/>
      <c r="Y14" s="11"/>
      <c r="Z14" s="11"/>
      <c r="AA14" s="11"/>
      <c r="AB14" s="11"/>
    </row>
    <row r="15" spans="1:28" ht="12.75" customHeight="1">
      <c r="A15" s="72">
        <v>9</v>
      </c>
      <c r="B15" s="73" t="s">
        <v>29</v>
      </c>
      <c r="C15" s="74" t="s">
        <v>84</v>
      </c>
      <c r="D15" s="75" t="str">
        <f>$D$39</f>
        <v>FSB Hildesheim II</v>
      </c>
      <c r="E15" s="76" t="s">
        <v>21</v>
      </c>
      <c r="F15" s="75" t="str">
        <f>$D$38</f>
        <v>VSG Röss/ Nordstemmen</v>
      </c>
      <c r="G15" s="77">
        <v>1</v>
      </c>
      <c r="H15" s="78">
        <v>3</v>
      </c>
      <c r="I15" s="79">
        <v>87</v>
      </c>
      <c r="J15" s="80">
        <v>95</v>
      </c>
      <c r="K15" s="14"/>
      <c r="L15" s="15">
        <f>IF($G15+$H15&lt;&gt;4,"",IF($G15&gt;$H15,2,IF($G15=$H15,1,0)))</f>
        <v>0</v>
      </c>
      <c r="M15" s="16">
        <f>IF($G15+$H15&lt;&gt;4,"",2-$L15)</f>
        <v>2</v>
      </c>
      <c r="N15" s="17">
        <f t="shared" si="0"/>
      </c>
      <c r="O15" s="29"/>
      <c r="P15" s="29"/>
      <c r="Q15" s="29"/>
      <c r="R15" s="29"/>
      <c r="S15" s="29"/>
      <c r="T15" s="29"/>
      <c r="U15" s="29"/>
      <c r="V15" s="29"/>
      <c r="W15" s="29"/>
      <c r="X15" s="11"/>
      <c r="Y15" s="11"/>
      <c r="Z15" s="11"/>
      <c r="AA15" s="11"/>
      <c r="AB15" s="11"/>
    </row>
    <row r="16" spans="1:28" ht="12.75" customHeight="1">
      <c r="A16" s="72">
        <v>10</v>
      </c>
      <c r="B16" s="73" t="s">
        <v>32</v>
      </c>
      <c r="C16" s="74" t="s">
        <v>71</v>
      </c>
      <c r="D16" s="75" t="str">
        <f>$D$36</f>
        <v>SSG Algermissen II</v>
      </c>
      <c r="E16" s="76" t="s">
        <v>21</v>
      </c>
      <c r="F16" s="75" t="str">
        <f>$D$35</f>
        <v>SV Wendhausen</v>
      </c>
      <c r="G16" s="77">
        <v>1</v>
      </c>
      <c r="H16" s="78">
        <v>3</v>
      </c>
      <c r="I16" s="79">
        <v>82</v>
      </c>
      <c r="J16" s="80">
        <v>97</v>
      </c>
      <c r="K16" s="17"/>
      <c r="L16" s="15">
        <f>IF($G16+$H16&lt;&gt;4,"",IF($G16&gt;$H16,2,IF($G16=$H16,1,0)))</f>
        <v>0</v>
      </c>
      <c r="M16" s="16">
        <f>IF($G16+$H16&lt;&gt;4,"",2-$L16)</f>
        <v>2</v>
      </c>
      <c r="N16" s="17">
        <f t="shared" si="0"/>
      </c>
      <c r="O16" s="29"/>
      <c r="P16" s="29"/>
      <c r="Q16" s="29"/>
      <c r="R16" s="29"/>
      <c r="S16" s="29"/>
      <c r="T16" s="29"/>
      <c r="U16" s="29"/>
      <c r="V16" s="29"/>
      <c r="W16" s="29"/>
      <c r="X16" s="11"/>
      <c r="Y16" s="11"/>
      <c r="Z16" s="11"/>
      <c r="AA16" s="11"/>
      <c r="AB16" s="11"/>
    </row>
    <row r="17" spans="1:28" ht="12.75" customHeight="1">
      <c r="A17" s="85"/>
      <c r="B17" s="86"/>
      <c r="C17" s="86"/>
      <c r="D17" s="86"/>
      <c r="E17" s="86"/>
      <c r="F17" s="86"/>
      <c r="G17" s="81"/>
      <c r="H17" s="82"/>
      <c r="I17" s="83"/>
      <c r="J17" s="84"/>
      <c r="K17" s="27"/>
      <c r="L17" s="25"/>
      <c r="M17" s="26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11"/>
      <c r="Y17" s="11"/>
      <c r="Z17" s="11"/>
      <c r="AA17" s="11"/>
      <c r="AB17" s="11"/>
    </row>
    <row r="18" spans="1:28" ht="12.75" customHeight="1">
      <c r="A18" s="72">
        <v>11</v>
      </c>
      <c r="B18" s="73" t="s">
        <v>40</v>
      </c>
      <c r="C18" s="74" t="s">
        <v>85</v>
      </c>
      <c r="D18" s="75" t="str">
        <f>$D$38</f>
        <v>VSG Röss/ Nordstemmen</v>
      </c>
      <c r="E18" s="76" t="s">
        <v>21</v>
      </c>
      <c r="F18" s="75" t="str">
        <f>$D$35</f>
        <v>SV Wendhausen</v>
      </c>
      <c r="G18" s="77">
        <v>2</v>
      </c>
      <c r="H18" s="78">
        <v>2</v>
      </c>
      <c r="I18" s="79">
        <v>85</v>
      </c>
      <c r="J18" s="80">
        <v>92</v>
      </c>
      <c r="K18" s="14"/>
      <c r="L18" s="15">
        <f>IF($G18+$H18&lt;&gt;4,"",IF($G18&gt;$H18,2,IF($G18=$H18,1,0)))</f>
        <v>1</v>
      </c>
      <c r="M18" s="16">
        <f>IF($G18+$H18&lt;&gt;4,"",2-$L18)</f>
        <v>1</v>
      </c>
      <c r="N18" s="17">
        <f t="shared" si="0"/>
      </c>
      <c r="O18" s="29"/>
      <c r="P18" s="29"/>
      <c r="Q18" s="29"/>
      <c r="R18" s="29"/>
      <c r="S18" s="29"/>
      <c r="T18" s="29"/>
      <c r="U18" s="29"/>
      <c r="V18" s="29"/>
      <c r="W18" s="29"/>
      <c r="X18" s="11"/>
      <c r="Y18" s="11"/>
      <c r="Z18" s="11"/>
      <c r="AA18" s="11"/>
      <c r="AB18" s="11"/>
    </row>
    <row r="19" spans="1:28" ht="12.75" customHeight="1">
      <c r="A19" s="72">
        <v>12</v>
      </c>
      <c r="B19" s="73" t="s">
        <v>32</v>
      </c>
      <c r="C19" s="74" t="s">
        <v>73</v>
      </c>
      <c r="D19" s="75" t="str">
        <f>$D$36</f>
        <v>SSG Algermissen II</v>
      </c>
      <c r="E19" s="76" t="s">
        <v>21</v>
      </c>
      <c r="F19" s="75" t="str">
        <f>$D$37</f>
        <v>VfV Hildesheim </v>
      </c>
      <c r="G19" s="77">
        <v>0</v>
      </c>
      <c r="H19" s="78">
        <v>4</v>
      </c>
      <c r="I19" s="79">
        <v>61</v>
      </c>
      <c r="J19" s="80">
        <v>100</v>
      </c>
      <c r="K19" s="17"/>
      <c r="L19" s="15">
        <f>IF($G19+$H19&lt;&gt;4,"",IF($G19&gt;$H19,2,IF($G19=$H19,1,0)))</f>
        <v>0</v>
      </c>
      <c r="M19" s="16">
        <f>IF($G19+$H19&lt;&gt;4,"",2-$L19)</f>
        <v>2</v>
      </c>
      <c r="N19" s="17">
        <f t="shared" si="0"/>
      </c>
      <c r="O19" s="29"/>
      <c r="P19" s="29"/>
      <c r="Q19" s="29"/>
      <c r="R19" s="29"/>
      <c r="S19" s="29"/>
      <c r="T19" s="29"/>
      <c r="U19" s="29"/>
      <c r="V19" s="29"/>
      <c r="W19" s="29"/>
      <c r="X19" s="11"/>
      <c r="Y19" s="11"/>
      <c r="Z19" s="11"/>
      <c r="AA19" s="11"/>
      <c r="AB19" s="11"/>
    </row>
    <row r="20" spans="1:28" ht="12.75" customHeight="1">
      <c r="A20" s="85"/>
      <c r="B20" s="86"/>
      <c r="C20" s="86"/>
      <c r="D20" s="86"/>
      <c r="E20" s="86"/>
      <c r="F20" s="86"/>
      <c r="G20" s="81"/>
      <c r="H20" s="82"/>
      <c r="I20" s="83"/>
      <c r="J20" s="84"/>
      <c r="K20" s="27"/>
      <c r="L20" s="25"/>
      <c r="M20" s="26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11"/>
      <c r="Y20" s="11"/>
      <c r="Z20" s="11"/>
      <c r="AA20" s="11"/>
      <c r="AB20" s="11"/>
    </row>
    <row r="21" spans="1:14" ht="12.75" customHeight="1">
      <c r="A21" s="72">
        <v>13</v>
      </c>
      <c r="B21" s="73" t="s">
        <v>29</v>
      </c>
      <c r="C21" s="74" t="s">
        <v>86</v>
      </c>
      <c r="D21" s="102" t="str">
        <f>$D$35</f>
        <v>SV Wendhausen</v>
      </c>
      <c r="E21" s="76" t="s">
        <v>21</v>
      </c>
      <c r="F21" s="75" t="str">
        <f>$D$39</f>
        <v>FSB Hildesheim II</v>
      </c>
      <c r="G21" s="77">
        <v>1</v>
      </c>
      <c r="H21" s="78">
        <v>3</v>
      </c>
      <c r="I21" s="79">
        <v>81</v>
      </c>
      <c r="J21" s="80">
        <v>96</v>
      </c>
      <c r="K21" s="14"/>
      <c r="L21" s="15">
        <f>IF($G21+$H21&lt;&gt;4,"",IF($G21&gt;$H21,2,IF($G21=$H21,1,0)))</f>
        <v>0</v>
      </c>
      <c r="M21" s="16">
        <f>IF($G21+$H21&lt;&gt;4,"",2-$L21)</f>
        <v>2</v>
      </c>
      <c r="N21" s="17">
        <f t="shared" si="0"/>
      </c>
    </row>
    <row r="22" spans="1:34" ht="12.75" customHeight="1">
      <c r="A22" s="72">
        <v>14</v>
      </c>
      <c r="B22" s="73" t="s">
        <v>35</v>
      </c>
      <c r="C22" s="74" t="s">
        <v>74</v>
      </c>
      <c r="D22" s="75" t="str">
        <f>$D$37</f>
        <v>VfV Hildesheim </v>
      </c>
      <c r="E22" s="76" t="s">
        <v>21</v>
      </c>
      <c r="F22" s="75" t="str">
        <f>$D$38</f>
        <v>VSG Röss/ Nordstemmen</v>
      </c>
      <c r="G22" s="77">
        <v>3</v>
      </c>
      <c r="H22" s="78">
        <v>1</v>
      </c>
      <c r="I22" s="79">
        <v>97</v>
      </c>
      <c r="J22" s="80">
        <v>88</v>
      </c>
      <c r="K22" s="17"/>
      <c r="L22" s="15">
        <f>IF($G22+$H22&lt;&gt;4,"",IF($G22&gt;$H22,2,IF($G22=$H22,1,0)))</f>
        <v>2</v>
      </c>
      <c r="M22" s="16">
        <f>IF($G22+$H22&lt;&gt;4,"",2-$L22)</f>
        <v>0</v>
      </c>
      <c r="N22" s="17">
        <f t="shared" si="0"/>
      </c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6"/>
      <c r="Z22" s="36"/>
      <c r="AA22" s="36"/>
      <c r="AB22" s="36"/>
      <c r="AC22" s="37"/>
      <c r="AD22" s="37"/>
      <c r="AE22" s="37"/>
      <c r="AF22" s="37"/>
      <c r="AG22" s="37"/>
      <c r="AH22" s="37"/>
    </row>
    <row r="23" spans="1:14" ht="12.75" customHeight="1">
      <c r="A23" s="85"/>
      <c r="B23" s="86"/>
      <c r="C23" s="86"/>
      <c r="D23" s="86"/>
      <c r="E23" s="86"/>
      <c r="F23" s="86"/>
      <c r="G23" s="81"/>
      <c r="H23" s="82"/>
      <c r="I23" s="83"/>
      <c r="J23" s="84"/>
      <c r="K23" s="27"/>
      <c r="L23" s="25"/>
      <c r="M23" s="26"/>
      <c r="N23" s="28"/>
    </row>
    <row r="24" spans="1:14" ht="12.75" customHeight="1">
      <c r="A24" s="72">
        <v>15</v>
      </c>
      <c r="B24" s="73" t="s">
        <v>35</v>
      </c>
      <c r="C24" s="74" t="s">
        <v>75</v>
      </c>
      <c r="D24" s="75" t="str">
        <f>$D$37</f>
        <v>VfV Hildesheim </v>
      </c>
      <c r="E24" s="76" t="s">
        <v>21</v>
      </c>
      <c r="F24" s="75" t="str">
        <f>$D$35</f>
        <v>SV Wendhausen</v>
      </c>
      <c r="G24" s="77">
        <v>3</v>
      </c>
      <c r="H24" s="78">
        <v>1</v>
      </c>
      <c r="I24" s="79">
        <v>94</v>
      </c>
      <c r="J24" s="80">
        <v>73</v>
      </c>
      <c r="K24" s="14"/>
      <c r="L24" s="15">
        <f>IF($G24+$H24&lt;&gt;4,"",IF($G24&gt;$H24,2,IF($G24=$H24,1,0)))</f>
        <v>2</v>
      </c>
      <c r="M24" s="16">
        <f>IF($G24+$H24&lt;&gt;4,"",2-$L24)</f>
        <v>0</v>
      </c>
      <c r="N24" s="17">
        <f t="shared" si="0"/>
      </c>
    </row>
    <row r="25" spans="1:14" ht="12.75" customHeight="1">
      <c r="A25" s="72">
        <v>16</v>
      </c>
      <c r="B25" s="73" t="s">
        <v>29</v>
      </c>
      <c r="C25" s="74" t="s">
        <v>87</v>
      </c>
      <c r="D25" s="75" t="str">
        <f>$D$39</f>
        <v>FSB Hildesheim II</v>
      </c>
      <c r="E25" s="76" t="s">
        <v>21</v>
      </c>
      <c r="F25" s="75" t="str">
        <f>$D$36</f>
        <v>SSG Algermissen II</v>
      </c>
      <c r="G25" s="77">
        <v>3</v>
      </c>
      <c r="H25" s="78">
        <v>1</v>
      </c>
      <c r="I25" s="79">
        <v>91</v>
      </c>
      <c r="J25" s="80">
        <v>77</v>
      </c>
      <c r="K25" s="17"/>
      <c r="L25" s="15">
        <f>IF($G25+$H25&lt;&gt;4,"",IF($G25&gt;$H25,2,IF($G25=$H25,1,0)))</f>
        <v>2</v>
      </c>
      <c r="M25" s="16">
        <f>IF($G25+$H25&lt;&gt;4,"",2-$L25)</f>
        <v>0</v>
      </c>
      <c r="N25" s="17">
        <f t="shared" si="0"/>
      </c>
    </row>
    <row r="26" spans="1:14" ht="12.75" customHeight="1">
      <c r="A26" s="87"/>
      <c r="B26" s="86"/>
      <c r="C26" s="86"/>
      <c r="D26" s="86"/>
      <c r="E26" s="86"/>
      <c r="F26" s="86"/>
      <c r="G26" s="81"/>
      <c r="H26" s="82"/>
      <c r="I26" s="83"/>
      <c r="J26" s="84"/>
      <c r="K26" s="27"/>
      <c r="L26" s="25"/>
      <c r="M26" s="26"/>
      <c r="N26" s="28"/>
    </row>
    <row r="27" spans="1:14" ht="12.75" customHeight="1">
      <c r="A27" s="72">
        <v>17</v>
      </c>
      <c r="B27" s="73" t="s">
        <v>32</v>
      </c>
      <c r="C27" s="74" t="s">
        <v>77</v>
      </c>
      <c r="D27" s="75" t="str">
        <f>$D$36</f>
        <v>SSG Algermissen II</v>
      </c>
      <c r="E27" s="76" t="s">
        <v>21</v>
      </c>
      <c r="F27" s="75" t="str">
        <f>$D$38</f>
        <v>VSG Röss/ Nordstemmen</v>
      </c>
      <c r="G27" s="77">
        <v>2</v>
      </c>
      <c r="H27" s="78">
        <v>2</v>
      </c>
      <c r="I27" s="79">
        <v>86</v>
      </c>
      <c r="J27" s="80">
        <v>94</v>
      </c>
      <c r="K27" s="14"/>
      <c r="L27" s="15">
        <f>IF($G27+$H27&lt;&gt;4,"",IF($G27&gt;$H27,2,IF($G27=$H27,1,0)))</f>
        <v>1</v>
      </c>
      <c r="M27" s="16">
        <f>IF($G27+$H27&lt;&gt;4,"",2-$L27)</f>
        <v>1</v>
      </c>
      <c r="N27" s="17">
        <f t="shared" si="0"/>
      </c>
    </row>
    <row r="28" spans="1:14" ht="12.75" customHeight="1">
      <c r="A28" s="72">
        <v>18</v>
      </c>
      <c r="B28" s="73" t="s">
        <v>29</v>
      </c>
      <c r="C28" s="74" t="s">
        <v>88</v>
      </c>
      <c r="D28" s="75" t="str">
        <f>$D$39</f>
        <v>FSB Hildesheim II</v>
      </c>
      <c r="E28" s="76" t="s">
        <v>21</v>
      </c>
      <c r="F28" s="75" t="str">
        <f>$D$37</f>
        <v>VfV Hildesheim </v>
      </c>
      <c r="G28" s="77">
        <v>2</v>
      </c>
      <c r="H28" s="78">
        <v>2</v>
      </c>
      <c r="I28" s="79">
        <v>85</v>
      </c>
      <c r="J28" s="80">
        <v>94</v>
      </c>
      <c r="K28" s="17"/>
      <c r="L28" s="15">
        <f>IF($G28+$H28&lt;&gt;4,"",IF($G28&gt;$H28,2,IF($G28=$H28,1,0)))</f>
        <v>1</v>
      </c>
      <c r="M28" s="16">
        <f>IF($G28+$H28&lt;&gt;4,"",2-$L28)</f>
        <v>1</v>
      </c>
      <c r="N28" s="17">
        <f t="shared" si="0"/>
      </c>
    </row>
    <row r="29" spans="1:14" ht="12.75" customHeight="1">
      <c r="A29" s="85"/>
      <c r="B29" s="86"/>
      <c r="C29" s="86"/>
      <c r="D29" s="86"/>
      <c r="E29" s="86"/>
      <c r="F29" s="86"/>
      <c r="G29" s="81"/>
      <c r="H29" s="82"/>
      <c r="I29" s="83"/>
      <c r="J29" s="84"/>
      <c r="K29" s="27"/>
      <c r="L29" s="25"/>
      <c r="M29" s="26"/>
      <c r="N29" s="28"/>
    </row>
    <row r="30" spans="1:14" ht="12.75" customHeight="1">
      <c r="A30" s="72">
        <v>19</v>
      </c>
      <c r="B30" s="73" t="s">
        <v>40</v>
      </c>
      <c r="C30" s="74" t="s">
        <v>89</v>
      </c>
      <c r="D30" s="75" t="str">
        <f>$D$38</f>
        <v>VSG Röss/ Nordstemmen</v>
      </c>
      <c r="E30" s="76" t="s">
        <v>21</v>
      </c>
      <c r="F30" s="75" t="str">
        <f>$D$39</f>
        <v>FSB Hildesheim II</v>
      </c>
      <c r="G30" s="77">
        <v>4</v>
      </c>
      <c r="H30" s="78">
        <v>0</v>
      </c>
      <c r="I30" s="79">
        <v>100</v>
      </c>
      <c r="J30" s="80">
        <v>62</v>
      </c>
      <c r="K30" s="14"/>
      <c r="L30" s="15">
        <f>IF($G30+$H30&lt;&gt;4,"",IF($G30&gt;$H30,2,IF($G30=$H30,1,0)))</f>
        <v>2</v>
      </c>
      <c r="M30" s="16">
        <f>IF($G30+$H30&lt;&gt;4,"",2-$L30)</f>
        <v>0</v>
      </c>
      <c r="N30" s="17">
        <f t="shared" si="0"/>
      </c>
    </row>
    <row r="31" spans="1:14" ht="12.75" customHeight="1">
      <c r="A31" s="72">
        <v>20</v>
      </c>
      <c r="B31" s="73" t="s">
        <v>32</v>
      </c>
      <c r="C31" s="74" t="s">
        <v>90</v>
      </c>
      <c r="D31" s="102" t="str">
        <f>$D$35</f>
        <v>SV Wendhausen</v>
      </c>
      <c r="E31" s="76" t="s">
        <v>21</v>
      </c>
      <c r="F31" s="75" t="str">
        <f>$D$36</f>
        <v>SSG Algermissen II</v>
      </c>
      <c r="G31" s="77">
        <v>3</v>
      </c>
      <c r="H31" s="78">
        <v>1</v>
      </c>
      <c r="I31" s="79">
        <v>97</v>
      </c>
      <c r="J31" s="80">
        <v>73</v>
      </c>
      <c r="K31" s="17"/>
      <c r="L31" s="15">
        <f>IF($G31+$H31&lt;&gt;4,"",IF($G31&gt;$H31,2,IF($G31=$H31,1,0)))</f>
        <v>2</v>
      </c>
      <c r="M31" s="16">
        <f>IF($G31+$H31&lt;&gt;4,"",2-$L31)</f>
        <v>0</v>
      </c>
      <c r="N31" s="17">
        <f t="shared" si="0"/>
      </c>
    </row>
    <row r="32" spans="1:13" ht="12.75" customHeight="1">
      <c r="A32" s="38"/>
      <c r="B32" s="38"/>
      <c r="C32" s="39"/>
      <c r="D32" s="40"/>
      <c r="E32" s="41"/>
      <c r="F32" s="42"/>
      <c r="L32" s="29"/>
      <c r="M32" s="29"/>
    </row>
    <row r="33" spans="1:35" s="48" customFormat="1" ht="12.75" customHeight="1">
      <c r="A33" s="68" t="s">
        <v>22</v>
      </c>
      <c r="B33" s="43"/>
      <c r="C33" s="43"/>
      <c r="D33" s="44"/>
      <c r="E33" s="45"/>
      <c r="F33" s="44"/>
      <c r="G33" s="185">
        <f>SUM(G3:H32)</f>
        <v>80</v>
      </c>
      <c r="H33" s="185"/>
      <c r="I33" s="185">
        <f>SUM(I3:J32)</f>
        <v>3523</v>
      </c>
      <c r="J33" s="185"/>
      <c r="K33" s="47"/>
      <c r="L33" s="185">
        <f>SUM(L3:M32)</f>
        <v>40</v>
      </c>
      <c r="M33" s="185"/>
      <c r="N33" s="36"/>
      <c r="O33" s="34"/>
      <c r="P33" s="34"/>
      <c r="Q33" s="34"/>
      <c r="R33" s="34"/>
      <c r="S33" s="34"/>
      <c r="T33" s="34"/>
      <c r="U33" s="34"/>
      <c r="V33" s="34"/>
      <c r="W33" s="34"/>
      <c r="X33" s="14"/>
      <c r="Y33" s="14"/>
      <c r="Z33" s="14"/>
      <c r="AA33" s="14"/>
      <c r="AB33" s="14"/>
      <c r="AC33" s="31"/>
      <c r="AD33" s="31"/>
      <c r="AE33" s="31"/>
      <c r="AF33" s="31"/>
      <c r="AG33" s="31"/>
      <c r="AH33" s="31"/>
      <c r="AI33" s="37"/>
    </row>
    <row r="34" spans="4:6" ht="12.75">
      <c r="D34" s="42"/>
      <c r="E34" s="41"/>
      <c r="F34" s="42"/>
    </row>
    <row r="35" spans="1:34" ht="12.75">
      <c r="A35" s="50" t="s">
        <v>23</v>
      </c>
      <c r="B35" s="51"/>
      <c r="C35" s="52"/>
      <c r="D35" s="53" t="s">
        <v>36</v>
      </c>
      <c r="E35" s="41"/>
      <c r="F35" s="42"/>
      <c r="AD35" s="54" t="s">
        <v>24</v>
      </c>
      <c r="AE35" s="55"/>
      <c r="AF35" s="55"/>
      <c r="AG35" s="55"/>
      <c r="AH35" s="56"/>
    </row>
    <row r="36" spans="1:34" ht="12.75">
      <c r="A36" s="57"/>
      <c r="B36" s="57"/>
      <c r="C36" s="58"/>
      <c r="D36" s="53" t="s">
        <v>33</v>
      </c>
      <c r="E36" s="41"/>
      <c r="F36" s="42"/>
      <c r="AD36" s="59" t="s">
        <v>25</v>
      </c>
      <c r="AE36" s="60"/>
      <c r="AF36" s="60"/>
      <c r="AG36" s="60"/>
      <c r="AH36" s="61"/>
    </row>
    <row r="37" spans="1:34" ht="12.75">
      <c r="A37" s="62"/>
      <c r="B37" s="62"/>
      <c r="C37" s="63"/>
      <c r="D37" s="53" t="s">
        <v>92</v>
      </c>
      <c r="E37" s="41"/>
      <c r="F37" s="42"/>
      <c r="AD37" s="59" t="s">
        <v>26</v>
      </c>
      <c r="AE37" s="60"/>
      <c r="AF37" s="60"/>
      <c r="AG37" s="60"/>
      <c r="AH37" s="61"/>
    </row>
    <row r="38" spans="1:34" ht="12.75">
      <c r="A38" s="62"/>
      <c r="B38" s="62"/>
      <c r="C38" s="63"/>
      <c r="D38" s="53" t="s">
        <v>91</v>
      </c>
      <c r="E38" s="41"/>
      <c r="F38" s="42"/>
      <c r="AD38" s="59" t="s">
        <v>27</v>
      </c>
      <c r="AE38" s="60"/>
      <c r="AF38" s="60"/>
      <c r="AG38" s="60"/>
      <c r="AH38" s="61"/>
    </row>
    <row r="39" spans="4:34" ht="12.75">
      <c r="D39" s="53" t="s">
        <v>39</v>
      </c>
      <c r="E39" s="41"/>
      <c r="F39" s="42"/>
      <c r="AD39" s="64" t="s">
        <v>28</v>
      </c>
      <c r="AE39" s="65"/>
      <c r="AF39" s="65"/>
      <c r="AG39" s="65"/>
      <c r="AH39" s="66"/>
    </row>
    <row r="42" ht="12.75">
      <c r="A42" s="49" t="s">
        <v>41</v>
      </c>
    </row>
    <row r="43" ht="15">
      <c r="A43" s="49" t="s">
        <v>42</v>
      </c>
    </row>
  </sheetData>
  <sheetProtection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J16" sqref="J16"/>
    </sheetView>
  </sheetViews>
  <sheetFormatPr defaultColWidth="11.421875" defaultRowHeight="12.75"/>
  <cols>
    <col min="1" max="1" width="5.57421875" style="49" customWidth="1"/>
    <col min="2" max="2" width="3.7109375" style="49" customWidth="1"/>
    <col min="3" max="3" width="10.57421875" style="49" customWidth="1"/>
    <col min="4" max="4" width="20.00390625" style="49" customWidth="1"/>
    <col min="5" max="5" width="2.57421875" style="67" customWidth="1"/>
    <col min="6" max="6" width="20.140625" style="49" customWidth="1"/>
    <col min="7" max="7" width="4.7109375" style="29" customWidth="1"/>
    <col min="8" max="8" width="4.421875" style="29" customWidth="1"/>
    <col min="9" max="9" width="5.57421875" style="34" customWidth="1"/>
    <col min="10" max="10" width="5.8515625" style="34" customWidth="1"/>
    <col min="11" max="11" width="0.71875" style="34" customWidth="1"/>
    <col min="12" max="13" width="5.8515625" style="34" customWidth="1"/>
    <col min="14" max="14" width="3.7109375" style="14" customWidth="1"/>
    <col min="15" max="15" width="5.140625" style="34" hidden="1" customWidth="1"/>
    <col min="16" max="16" width="20.7109375" style="34" hidden="1" customWidth="1"/>
    <col min="17" max="17" width="5.8515625" style="34" hidden="1" customWidth="1"/>
    <col min="18" max="23" width="5.57421875" style="34" hidden="1" customWidth="1"/>
    <col min="24" max="26" width="5.57421875" style="14" hidden="1" customWidth="1"/>
    <col min="27" max="27" width="9.57421875" style="14" hidden="1" customWidth="1"/>
    <col min="28" max="28" width="1.57421875" style="14" hidden="1" customWidth="1"/>
    <col min="29" max="29" width="5.421875" style="31" customWidth="1"/>
    <col min="30" max="30" width="20.57421875" style="31" bestFit="1" customWidth="1"/>
    <col min="31" max="31" width="5.8515625" style="31" customWidth="1"/>
    <col min="32" max="34" width="8.421875" style="31" customWidth="1"/>
    <col min="35" max="35" width="11.421875" style="31" customWidth="1"/>
  </cols>
  <sheetData>
    <row r="1" spans="1:38" s="5" customFormat="1" ht="21" customHeight="1">
      <c r="A1" s="186" t="s">
        <v>58</v>
      </c>
      <c r="B1" s="187"/>
      <c r="C1" s="187"/>
      <c r="D1" s="187"/>
      <c r="E1" s="187"/>
      <c r="F1" s="188"/>
      <c r="G1" s="189" t="s">
        <v>0</v>
      </c>
      <c r="H1" s="190"/>
      <c r="I1" s="190"/>
      <c r="J1" s="191"/>
      <c r="K1" s="1"/>
      <c r="L1" s="192" t="s">
        <v>1</v>
      </c>
      <c r="M1" s="193"/>
      <c r="N1" s="2"/>
      <c r="O1" s="170" t="s">
        <v>2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  <c r="AB1" s="3"/>
      <c r="AC1" s="173" t="s">
        <v>145</v>
      </c>
      <c r="AD1" s="174"/>
      <c r="AE1" s="174"/>
      <c r="AF1" s="174"/>
      <c r="AG1" s="174"/>
      <c r="AH1" s="175"/>
      <c r="AI1" s="4"/>
      <c r="AJ1" s="4"/>
      <c r="AK1" s="4"/>
      <c r="AL1" s="4"/>
    </row>
    <row r="2" spans="1:35" s="13" customFormat="1" ht="35.25" customHeight="1">
      <c r="A2" s="69" t="s">
        <v>3</v>
      </c>
      <c r="B2" s="70" t="s">
        <v>4</v>
      </c>
      <c r="C2" s="71" t="s">
        <v>5</v>
      </c>
      <c r="D2" s="176" t="str">
        <f>IF(D35="","Bitte zuerst die 5 Mannschaftsnamen unten ab Zeile 35 eingeben","Spielpaarung")</f>
        <v>Spielpaarung</v>
      </c>
      <c r="E2" s="177"/>
      <c r="F2" s="178"/>
      <c r="G2" s="179" t="s">
        <v>6</v>
      </c>
      <c r="H2" s="180"/>
      <c r="I2" s="181" t="s">
        <v>7</v>
      </c>
      <c r="J2" s="182"/>
      <c r="K2" s="6"/>
      <c r="L2" s="183" t="s">
        <v>8</v>
      </c>
      <c r="M2" s="184"/>
      <c r="N2" s="6"/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7" t="s">
        <v>8</v>
      </c>
      <c r="U2" s="8" t="s">
        <v>14</v>
      </c>
      <c r="V2" s="9" t="s">
        <v>15</v>
      </c>
      <c r="W2" s="7" t="s">
        <v>16</v>
      </c>
      <c r="X2" s="9" t="s">
        <v>17</v>
      </c>
      <c r="Y2" s="9" t="s">
        <v>18</v>
      </c>
      <c r="Z2" s="7" t="s">
        <v>19</v>
      </c>
      <c r="AA2" s="10" t="s">
        <v>20</v>
      </c>
      <c r="AB2" s="11"/>
      <c r="AC2" s="12" t="s">
        <v>9</v>
      </c>
      <c r="AD2" s="12" t="s">
        <v>10</v>
      </c>
      <c r="AE2" s="12" t="s">
        <v>11</v>
      </c>
      <c r="AF2" s="12" t="s">
        <v>8</v>
      </c>
      <c r="AG2" s="12" t="s">
        <v>16</v>
      </c>
      <c r="AH2" s="12" t="s">
        <v>19</v>
      </c>
      <c r="AI2" s="4"/>
    </row>
    <row r="3" spans="1:35" ht="12.75" customHeight="1">
      <c r="A3" s="72">
        <v>1</v>
      </c>
      <c r="B3" s="73" t="s">
        <v>32</v>
      </c>
      <c r="C3" s="74" t="s">
        <v>93</v>
      </c>
      <c r="D3" s="75" t="str">
        <f>$D$35</f>
        <v>SV Groß Düngen</v>
      </c>
      <c r="E3" s="76" t="s">
        <v>21</v>
      </c>
      <c r="F3" s="75" t="str">
        <f>$D$36</f>
        <v>MTV Banteln</v>
      </c>
      <c r="G3" s="77">
        <v>3</v>
      </c>
      <c r="H3" s="78">
        <v>1</v>
      </c>
      <c r="I3" s="79">
        <v>94</v>
      </c>
      <c r="J3" s="80">
        <v>77</v>
      </c>
      <c r="K3" s="14"/>
      <c r="L3" s="15">
        <f>IF($G3+$H3&lt;&gt;4,"",IF($G3&gt;$H3,2,IF($G3=$H3,1,0)))</f>
        <v>2</v>
      </c>
      <c r="M3" s="16">
        <f>IF($G3+$H3&lt;&gt;4,"",2-$L3)</f>
        <v>0</v>
      </c>
      <c r="N3" s="17">
        <f aca="true" t="shared" si="0" ref="N3:N31">IF(AND(G3&lt;&gt;"",H3&lt;&gt;"",G3+H3&lt;&gt;4),"!!!","")</f>
      </c>
      <c r="O3" s="18">
        <f>RANK(AA3,$AA$3:$AA$7)</f>
        <v>1</v>
      </c>
      <c r="P3" s="19" t="str">
        <f>D35</f>
        <v>SV Groß Düngen</v>
      </c>
      <c r="Q3" s="18">
        <f>(R3+S3)/2</f>
        <v>6</v>
      </c>
      <c r="R3" s="20">
        <f>SUMIF($D$3:$D$31,$P3,$L$3:$L$31)+SUMIF($F$3:$F$31,$P3,$M$3:$M$31)</f>
        <v>10</v>
      </c>
      <c r="S3" s="21">
        <f>SUMIF($D$3:$D$31,$P3,$M$3:$M$31)+SUMIF($F$3:$F$31,$P3,$L$3:$L$31)</f>
        <v>2</v>
      </c>
      <c r="T3" s="18" t="str">
        <f>R3&amp;" : "&amp;S3</f>
        <v>10 : 2</v>
      </c>
      <c r="U3" s="20">
        <f>SUMIF($D$3:$D$31,$P3,$G$3:$G$31)+SUMIF($F$3:$F$31,$P3,$H$3:$H$31)</f>
        <v>18</v>
      </c>
      <c r="V3" s="21">
        <f>SUMIF($D$3:$D$31,$P3,$H$3:$H$31)+SUMIF($F$3:$F$31,$P3,$G$3:$G$31)</f>
        <v>6</v>
      </c>
      <c r="W3" s="18" t="str">
        <f>U3&amp;" : "&amp;V3</f>
        <v>18 : 6</v>
      </c>
      <c r="X3" s="20">
        <f>SUMIF($D$3:$D$31,$P3,$I$3:$I$31)+SUMIF($F$3:$F$31,$P3,$J$3:$J$31)</f>
        <v>557</v>
      </c>
      <c r="Y3" s="21">
        <f>SUMIF($D$3:$D$31,$P3,$J$3:$J$31)+SUMIF($F$3:$F$31,$P3,$I$3:$I$31)</f>
        <v>467</v>
      </c>
      <c r="Z3" s="18" t="str">
        <f>X3&amp;" : "&amp;Y3</f>
        <v>557 : 467</v>
      </c>
      <c r="AA3" s="22">
        <f>R3*1000000000+(R3-S3)*10000000+(U3-V3)*10000+(X3-Y3)-ROW(P3)/100</f>
        <v>10080120089.97</v>
      </c>
      <c r="AB3" s="11"/>
      <c r="AC3" s="23">
        <v>1</v>
      </c>
      <c r="AD3" s="24" t="str">
        <f>VLOOKUP($AC3,$O$3:$P$7,2,FALSE)</f>
        <v>SV Groß Düngen</v>
      </c>
      <c r="AE3" s="23">
        <f>VLOOKUP($AC3,$O$3:$Z$7,3,FALSE)</f>
        <v>6</v>
      </c>
      <c r="AF3" s="23" t="str">
        <f>VLOOKUP($AC3,$O$3:$Z$7,6,FALSE)</f>
        <v>10 : 2</v>
      </c>
      <c r="AG3" s="23" t="str">
        <f>VLOOKUP($AC3,$O$3:$Z$7,9,FALSE)</f>
        <v>18 : 6</v>
      </c>
      <c r="AH3" s="23" t="str">
        <f>VLOOKUP($AC3,$O$3:$Z$7,12,FALSE)</f>
        <v>557 : 467</v>
      </c>
      <c r="AI3"/>
    </row>
    <row r="4" spans="1:35" ht="12.75" customHeight="1">
      <c r="A4" s="72">
        <v>2</v>
      </c>
      <c r="B4" s="145" t="s">
        <v>34</v>
      </c>
      <c r="C4" s="146" t="s">
        <v>94</v>
      </c>
      <c r="D4" s="147" t="str">
        <f>$D$38</f>
        <v>MTV 48 Hildesheim</v>
      </c>
      <c r="E4" s="148" t="s">
        <v>21</v>
      </c>
      <c r="F4" s="147" t="str">
        <f>$D$39</f>
        <v>TSV Clauen/ Soßmar</v>
      </c>
      <c r="G4" s="149"/>
      <c r="H4" s="150"/>
      <c r="I4" s="151"/>
      <c r="J4" s="152"/>
      <c r="K4" s="153"/>
      <c r="L4" s="154">
        <f>IF($G4+$H4&lt;&gt;4,"",IF($G4&gt;$H4,2,IF($G4=$H4,1,0)))</f>
      </c>
      <c r="M4" s="155">
        <f>IF($G4+$H4&lt;&gt;4,"",2-$L4)</f>
      </c>
      <c r="N4" s="17">
        <f t="shared" si="0"/>
      </c>
      <c r="O4" s="18">
        <f>RANK(AA4,$AA$3:$AA$7)</f>
        <v>3</v>
      </c>
      <c r="P4" s="19" t="str">
        <f>D36</f>
        <v>MTV Banteln</v>
      </c>
      <c r="Q4" s="18">
        <f>(R4+S4)/2</f>
        <v>6</v>
      </c>
      <c r="R4" s="20">
        <f>SUMIF($D$3:$D$31,$P4,$L$3:$L$31)+SUMIF($F$3:$F$31,$P4,$M$3:$M$31)</f>
        <v>6</v>
      </c>
      <c r="S4" s="21">
        <f>SUMIF($D$3:$D$31,$P4,$M$3:$M$31)+SUMIF($F$3:$F$31,$P4,$L$3:$L$31)</f>
        <v>6</v>
      </c>
      <c r="T4" s="18" t="str">
        <f>R4&amp;" : "&amp;S4</f>
        <v>6 : 6</v>
      </c>
      <c r="U4" s="20">
        <f>SUMIF($D$3:$D$31,$P4,$G$3:$G$31)+SUMIF($F$3:$F$31,$P4,$H$3:$H$31)</f>
        <v>11</v>
      </c>
      <c r="V4" s="21">
        <f>SUMIF($D$3:$D$31,$P4,$H$3:$H$31)+SUMIF($F$3:$F$31,$P4,$G$3:$G$31)</f>
        <v>13</v>
      </c>
      <c r="W4" s="18" t="str">
        <f>U4&amp;" : "&amp;V4</f>
        <v>11 : 13</v>
      </c>
      <c r="X4" s="20">
        <f>SUMIF($D$3:$D$31,$P4,$I$3:$I$31)+SUMIF($F$3:$F$31,$P4,$J$3:$J$31)</f>
        <v>516</v>
      </c>
      <c r="Y4" s="21">
        <f>SUMIF($D$3:$D$31,$P4,$J$3:$J$31)+SUMIF($F$3:$F$31,$P4,$I$3:$I$31)</f>
        <v>525</v>
      </c>
      <c r="Z4" s="18" t="str">
        <f>X4&amp;" : "&amp;Y4</f>
        <v>516 : 525</v>
      </c>
      <c r="AA4" s="22">
        <f>R4*1000000000+(R4-S4)*10000000+(U4-V4)*10000+(X4-Y4)-ROW(P4)/100</f>
        <v>5999979990.96</v>
      </c>
      <c r="AB4" s="11"/>
      <c r="AC4" s="23">
        <v>2</v>
      </c>
      <c r="AD4" s="24" t="str">
        <f>VLOOKUP($AC4,$O$3:$Z$7,2,FALSE)</f>
        <v>MTV 48 Hildesheim</v>
      </c>
      <c r="AE4" s="23">
        <f>VLOOKUP($AC4,$O$3:$Z$7,3,FALSE)</f>
        <v>6</v>
      </c>
      <c r="AF4" s="23" t="str">
        <f>VLOOKUP($AC4,$O$3:$Z$7,6,FALSE)</f>
        <v>7 : 5</v>
      </c>
      <c r="AG4" s="23" t="str">
        <f>VLOOKUP($AC4,$O$3:$Z$7,9,FALSE)</f>
        <v>14 : 10</v>
      </c>
      <c r="AH4" s="23" t="str">
        <f>VLOOKUP($AC4,$O$3:$Z$7,12,FALSE)</f>
        <v>527 : 490</v>
      </c>
      <c r="AI4"/>
    </row>
    <row r="5" spans="1:35" ht="12.75" customHeight="1">
      <c r="A5" s="85"/>
      <c r="B5" s="86"/>
      <c r="C5" s="86"/>
      <c r="D5" s="86"/>
      <c r="E5" s="86"/>
      <c r="F5" s="86"/>
      <c r="G5" s="81"/>
      <c r="H5" s="82"/>
      <c r="I5" s="83"/>
      <c r="J5" s="84"/>
      <c r="K5" s="27"/>
      <c r="L5" s="25"/>
      <c r="M5" s="26"/>
      <c r="N5" s="28"/>
      <c r="O5" s="18">
        <f>RANK(AA5,$AA$3:$AA$7)</f>
        <v>4</v>
      </c>
      <c r="P5" s="19" t="str">
        <f>D37</f>
        <v>TuS Holle/ Grasdorf I</v>
      </c>
      <c r="Q5" s="18">
        <f>(R5+S5)/2</f>
        <v>6</v>
      </c>
      <c r="R5" s="20">
        <f>SUMIF($D$3:$D$31,$P5,$L$3:$L$31)+SUMIF($F$3:$F$31,$P5,$M$3:$M$31)</f>
        <v>1</v>
      </c>
      <c r="S5" s="21">
        <f>SUMIF($D$3:$D$31,$P5,$M$3:$M$31)+SUMIF($F$3:$F$31,$P5,$L$3:$L$31)</f>
        <v>11</v>
      </c>
      <c r="T5" s="18" t="str">
        <f>R5&amp;" : "&amp;S5</f>
        <v>1 : 11</v>
      </c>
      <c r="U5" s="20">
        <f>SUMIF($D$3:$D$31,$P5,$G$3:$G$31)+SUMIF($F$3:$F$31,$P5,$H$3:$H$31)</f>
        <v>5</v>
      </c>
      <c r="V5" s="21">
        <f>SUMIF($D$3:$D$31,$P5,$H$3:$H$31)+SUMIF($F$3:$F$31,$P5,$G$3:$G$31)</f>
        <v>19</v>
      </c>
      <c r="W5" s="18" t="str">
        <f>U5&amp;" : "&amp;V5</f>
        <v>5 : 19</v>
      </c>
      <c r="X5" s="20">
        <f>SUMIF($D$3:$D$31,$P5,$I$3:$I$31)+SUMIF($F$3:$F$31,$P5,$J$3:$J$31)</f>
        <v>453</v>
      </c>
      <c r="Y5" s="21">
        <f>SUMIF($D$3:$D$31,$P5,$J$3:$J$31)+SUMIF($F$3:$F$31,$P5,$I$3:$I$31)</f>
        <v>571</v>
      </c>
      <c r="Z5" s="18" t="str">
        <f>X5&amp;" : "&amp;Y5</f>
        <v>453 : 571</v>
      </c>
      <c r="AA5" s="22">
        <f>R5*1000000000+(R5-S5)*10000000+(U5-V5)*10000+(X5-Y5)-ROW(P5)/100</f>
        <v>899859881.95</v>
      </c>
      <c r="AB5" s="11"/>
      <c r="AC5" s="23">
        <v>3</v>
      </c>
      <c r="AD5" s="24" t="str">
        <f>VLOOKUP($AC5,$O$3:$Z$7,2,FALSE)</f>
        <v>MTV Banteln</v>
      </c>
      <c r="AE5" s="23">
        <f>VLOOKUP($AC5,$O$3:$Z$7,3,FALSE)</f>
        <v>6</v>
      </c>
      <c r="AF5" s="23" t="str">
        <f>VLOOKUP($AC5,$O$3:$Z$7,6,FALSE)</f>
        <v>6 : 6</v>
      </c>
      <c r="AG5" s="23" t="str">
        <f>VLOOKUP($AC5,$O$3:$Z$7,9,FALSE)</f>
        <v>11 : 13</v>
      </c>
      <c r="AH5" s="23" t="str">
        <f>VLOOKUP($AC5,$O$3:$Z$7,12,FALSE)</f>
        <v>516 : 525</v>
      </c>
      <c r="AI5"/>
    </row>
    <row r="6" spans="1:35" ht="12.75" customHeight="1">
      <c r="A6" s="72">
        <v>3</v>
      </c>
      <c r="B6" s="73" t="s">
        <v>40</v>
      </c>
      <c r="C6" s="74" t="s">
        <v>158</v>
      </c>
      <c r="D6" s="75" t="str">
        <f>$D$37</f>
        <v>TuS Holle/ Grasdorf I</v>
      </c>
      <c r="E6" s="76" t="s">
        <v>21</v>
      </c>
      <c r="F6" s="75" t="str">
        <f>$D$35</f>
        <v>SV Groß Düngen</v>
      </c>
      <c r="G6" s="77">
        <v>2</v>
      </c>
      <c r="H6" s="78">
        <v>2</v>
      </c>
      <c r="I6" s="79">
        <v>90</v>
      </c>
      <c r="J6" s="80">
        <v>86</v>
      </c>
      <c r="K6" s="14"/>
      <c r="L6" s="15">
        <f>IF($G6+$H6&lt;&gt;4,"",IF($G6&gt;$H6,2,IF($G6=$H6,1,0)))</f>
        <v>1</v>
      </c>
      <c r="M6" s="16">
        <f>IF($G6+$H6&lt;&gt;4,"",2-$L6)</f>
        <v>1</v>
      </c>
      <c r="N6" s="17">
        <f t="shared" si="0"/>
      </c>
      <c r="O6" s="18">
        <f>RANK(AA6,$AA$3:$AA$7)</f>
        <v>2</v>
      </c>
      <c r="P6" s="19" t="str">
        <f>D38</f>
        <v>MTV 48 Hildesheim</v>
      </c>
      <c r="Q6" s="18">
        <f>(R6+S6)/2</f>
        <v>6</v>
      </c>
      <c r="R6" s="20">
        <f>SUMIF($D$3:$D$31,$P6,$L$3:$L$31)+SUMIF($F$3:$F$31,$P6,$M$3:$M$31)</f>
        <v>7</v>
      </c>
      <c r="S6" s="21">
        <f>SUMIF($D$3:$D$31,$P6,$M$3:$M$31)+SUMIF($F$3:$F$31,$P6,$L$3:$L$31)</f>
        <v>5</v>
      </c>
      <c r="T6" s="18" t="str">
        <f>R6&amp;" : "&amp;S6</f>
        <v>7 : 5</v>
      </c>
      <c r="U6" s="20">
        <f>SUMIF($D$3:$D$31,$P6,$G$3:$G$31)+SUMIF($F$3:$F$31,$P6,$H$3:$H$31)</f>
        <v>14</v>
      </c>
      <c r="V6" s="21">
        <f>SUMIF($D$3:$D$31,$P6,$H$3:$H$31)+SUMIF($F$3:$F$31,$P6,$G$3:$G$31)</f>
        <v>10</v>
      </c>
      <c r="W6" s="18" t="str">
        <f>U6&amp;" : "&amp;V6</f>
        <v>14 : 10</v>
      </c>
      <c r="X6" s="20">
        <f>SUMIF($D$3:$D$31,$P6,$I$3:$I$31)+SUMIF($F$3:$F$31,$P6,$J$3:$J$31)</f>
        <v>527</v>
      </c>
      <c r="Y6" s="21">
        <f>SUMIF($D$3:$D$31,$P6,$J$3:$J$31)+SUMIF($F$3:$F$31,$P6,$I$3:$I$31)</f>
        <v>490</v>
      </c>
      <c r="Z6" s="18" t="str">
        <f>X6&amp;" : "&amp;Y6</f>
        <v>527 : 490</v>
      </c>
      <c r="AA6" s="22">
        <f>R6*1000000000+(R6-S6)*10000000+(U6-V6)*10000+(X6-Y6)-ROW(P6)/100</f>
        <v>7020040036.94</v>
      </c>
      <c r="AB6" s="11"/>
      <c r="AC6" s="23">
        <v>4</v>
      </c>
      <c r="AD6" s="24" t="str">
        <f>VLOOKUP($AC6,$O$3:$Z$7,2,FALSE)</f>
        <v>TuS Holle/ Grasdorf I</v>
      </c>
      <c r="AE6" s="23">
        <f>VLOOKUP($AC6,$O$3:$Z$7,3,FALSE)</f>
        <v>6</v>
      </c>
      <c r="AF6" s="23" t="str">
        <f>VLOOKUP($AC6,$O$3:$Z$7,6,FALSE)</f>
        <v>1 : 11</v>
      </c>
      <c r="AG6" s="23" t="str">
        <f>VLOOKUP($AC6,$O$3:$Z$7,9,FALSE)</f>
        <v>5 : 19</v>
      </c>
      <c r="AH6" s="23" t="str">
        <f>VLOOKUP($AC6,$O$3:$Z$7,12,FALSE)</f>
        <v>453 : 571</v>
      </c>
      <c r="AI6"/>
    </row>
    <row r="7" spans="1:35" ht="12.75" customHeight="1">
      <c r="A7" s="72">
        <v>4</v>
      </c>
      <c r="B7" s="73" t="s">
        <v>40</v>
      </c>
      <c r="C7" s="74" t="s">
        <v>81</v>
      </c>
      <c r="D7" s="75" t="str">
        <f>$D$36</f>
        <v>MTV Banteln</v>
      </c>
      <c r="E7" s="76" t="s">
        <v>21</v>
      </c>
      <c r="F7" s="75" t="str">
        <f>$D$38</f>
        <v>MTV 48 Hildesheim</v>
      </c>
      <c r="G7" s="77">
        <v>3</v>
      </c>
      <c r="H7" s="78">
        <v>1</v>
      </c>
      <c r="I7" s="79">
        <v>93</v>
      </c>
      <c r="J7" s="80">
        <v>76</v>
      </c>
      <c r="K7" s="17"/>
      <c r="L7" s="15">
        <f>IF($G7+$H7&lt;&gt;4,"",IF($G7&gt;$H7,2,IF($G7=$H7,1,0)))</f>
        <v>2</v>
      </c>
      <c r="M7" s="16">
        <f>IF($G7+$H7&lt;&gt;4,"",2-$L7)</f>
        <v>0</v>
      </c>
      <c r="N7" s="17">
        <f t="shared" si="0"/>
      </c>
      <c r="O7" s="18">
        <f>RANK(AA7,$AA$3:$AA$7)</f>
        <v>5</v>
      </c>
      <c r="P7" s="19" t="str">
        <f>D39</f>
        <v>TSV Clauen/ Soßmar</v>
      </c>
      <c r="Q7" s="18">
        <f>(R7+S7)/2</f>
        <v>0</v>
      </c>
      <c r="R7" s="20">
        <f>SUMIF($D$3:$D$31,$P7,$L$3:$L$31)+SUMIF($F$3:$F$31,$P7,$M$3:$M$31)</f>
        <v>0</v>
      </c>
      <c r="S7" s="21">
        <f>SUMIF($D$3:$D$31,$P7,$M$3:$M$31)+SUMIF($F$3:$F$31,$P7,$L$3:$L$31)</f>
        <v>0</v>
      </c>
      <c r="T7" s="18" t="str">
        <f>R7&amp;" : "&amp;S7</f>
        <v>0 : 0</v>
      </c>
      <c r="U7" s="20">
        <f>SUMIF($D$3:$D$31,$P7,$G$3:$G$31)+SUMIF($F$3:$F$31,$P7,$H$3:$H$31)</f>
        <v>0</v>
      </c>
      <c r="V7" s="21">
        <f>SUMIF($D$3:$D$31,$P7,$H$3:$H$31)+SUMIF($F$3:$F$31,$P7,$G$3:$G$31)</f>
        <v>0</v>
      </c>
      <c r="W7" s="18" t="str">
        <f>U7&amp;" : "&amp;V7</f>
        <v>0 : 0</v>
      </c>
      <c r="X7" s="20">
        <f>SUMIF($D$3:$D$31,$P7,$I$3:$I$31)+SUMIF($F$3:$F$31,$P7,$J$3:$J$31)</f>
        <v>0</v>
      </c>
      <c r="Y7" s="21">
        <f>SUMIF($D$3:$D$31,$P7,$J$3:$J$31)+SUMIF($F$3:$F$31,$P7,$I$3:$I$31)</f>
        <v>0</v>
      </c>
      <c r="Z7" s="18" t="str">
        <f>X7&amp;" : "&amp;Y7</f>
        <v>0 : 0</v>
      </c>
      <c r="AA7" s="22">
        <f>R7*1000000000+(R7-S7)*10000000+(U7-V7)*10000+(X7-Y7)-ROW(P7)/100</f>
        <v>-0.07</v>
      </c>
      <c r="AB7" s="11"/>
      <c r="AC7" s="165">
        <v>5</v>
      </c>
      <c r="AD7" s="166" t="str">
        <f>VLOOKUP($AC7,$O$3:$Z$7,2,FALSE)</f>
        <v>TSV Clauen/ Soßmar</v>
      </c>
      <c r="AE7" s="165">
        <f>VLOOKUP($AC7,$O$3:$Z$7,3,FALSE)</f>
        <v>0</v>
      </c>
      <c r="AF7" s="165" t="str">
        <f>VLOOKUP($AC7,$O$3:$Z$7,6,FALSE)</f>
        <v>0 : 0</v>
      </c>
      <c r="AG7" s="165" t="str">
        <f>VLOOKUP($AC7,$O$3:$Z$7,9,FALSE)</f>
        <v>0 : 0</v>
      </c>
      <c r="AH7" s="165" t="str">
        <f>VLOOKUP($AC7,$O$3:$Z$7,12,FALSE)</f>
        <v>0 : 0</v>
      </c>
      <c r="AI7"/>
    </row>
    <row r="8" spans="1:35" ht="12.75" customHeight="1">
      <c r="A8" s="85"/>
      <c r="B8" s="86"/>
      <c r="C8" s="86"/>
      <c r="D8" s="86"/>
      <c r="E8" s="86"/>
      <c r="F8" s="86"/>
      <c r="G8" s="81"/>
      <c r="H8" s="82"/>
      <c r="I8" s="83"/>
      <c r="J8" s="84"/>
      <c r="K8" s="27"/>
      <c r="L8" s="25"/>
      <c r="M8" s="26"/>
      <c r="N8" s="28"/>
      <c r="O8" s="29"/>
      <c r="P8" s="29"/>
      <c r="Q8" s="29"/>
      <c r="R8" s="29"/>
      <c r="S8" s="29"/>
      <c r="T8" s="29"/>
      <c r="U8" s="29"/>
      <c r="V8" s="29"/>
      <c r="W8" s="29"/>
      <c r="X8" s="11"/>
      <c r="Y8" s="11"/>
      <c r="Z8" s="11"/>
      <c r="AA8" s="11"/>
      <c r="AB8" s="11"/>
      <c r="AC8" s="30"/>
      <c r="AI8"/>
    </row>
    <row r="9" spans="1:34" ht="12.75" customHeight="1">
      <c r="A9" s="72">
        <v>5</v>
      </c>
      <c r="B9" s="73" t="s">
        <v>32</v>
      </c>
      <c r="C9" s="74" t="s">
        <v>68</v>
      </c>
      <c r="D9" s="75" t="str">
        <f>$D$35</f>
        <v>SV Groß Düngen</v>
      </c>
      <c r="E9" s="76" t="s">
        <v>21</v>
      </c>
      <c r="F9" s="75" t="str">
        <f>$D$38</f>
        <v>MTV 48 Hildesheim</v>
      </c>
      <c r="G9" s="77">
        <v>3</v>
      </c>
      <c r="H9" s="78">
        <v>1</v>
      </c>
      <c r="I9" s="79">
        <v>95</v>
      </c>
      <c r="J9" s="80">
        <v>75</v>
      </c>
      <c r="K9" s="14"/>
      <c r="L9" s="15">
        <f>IF($G9+$H9&lt;&gt;4,"",IF($G9&gt;$H9,2,IF($G9=$H9,1,0)))</f>
        <v>2</v>
      </c>
      <c r="M9" s="16">
        <f>IF($G9+$H9&lt;&gt;4,"",2-$L9)</f>
        <v>0</v>
      </c>
      <c r="N9" s="17">
        <f t="shared" si="0"/>
      </c>
      <c r="O9" s="29"/>
      <c r="P9" s="29"/>
      <c r="Q9" s="29"/>
      <c r="R9" s="29"/>
      <c r="S9" s="29"/>
      <c r="T9" s="29"/>
      <c r="U9" s="29"/>
      <c r="V9" s="29"/>
      <c r="W9" s="29"/>
      <c r="X9" s="11"/>
      <c r="Y9" s="11"/>
      <c r="Z9" s="11"/>
      <c r="AA9" s="11"/>
      <c r="AB9" s="11"/>
      <c r="AC9" s="32" t="s">
        <v>22</v>
      </c>
      <c r="AD9" s="30"/>
      <c r="AE9" s="30"/>
      <c r="AF9" s="46">
        <f>SUM(R$3:S7)/2</f>
        <v>24</v>
      </c>
      <c r="AG9" s="46">
        <f>SUM(U$3:V7)/2</f>
        <v>48</v>
      </c>
      <c r="AH9" s="46">
        <f>SUM(X$3:Y7)/2</f>
        <v>2053</v>
      </c>
    </row>
    <row r="10" spans="1:29" ht="12.75" customHeight="1">
      <c r="A10" s="72">
        <v>6</v>
      </c>
      <c r="B10" s="145" t="s">
        <v>35</v>
      </c>
      <c r="C10" s="146" t="s">
        <v>82</v>
      </c>
      <c r="D10" s="147" t="str">
        <f>$D$39</f>
        <v>TSV Clauen/ Soßmar</v>
      </c>
      <c r="E10" s="148" t="s">
        <v>21</v>
      </c>
      <c r="F10" s="147" t="str">
        <f>$D$37</f>
        <v>TuS Holle/ Grasdorf I</v>
      </c>
      <c r="G10" s="149"/>
      <c r="H10" s="150"/>
      <c r="I10" s="151"/>
      <c r="J10" s="152"/>
      <c r="K10" s="153"/>
      <c r="L10" s="154">
        <f>IF($G10+$H10&lt;&gt;4,"",IF($G10&gt;$H10,2,IF($G10=$H10,1,0)))</f>
      </c>
      <c r="M10" s="155">
        <f>IF($G10+$H10&lt;&gt;4,"",2-$L10)</f>
      </c>
      <c r="N10" s="17">
        <f t="shared" si="0"/>
      </c>
      <c r="O10" s="29"/>
      <c r="P10" s="29"/>
      <c r="Q10" s="29"/>
      <c r="R10" s="29"/>
      <c r="S10" s="29"/>
      <c r="T10" s="29"/>
      <c r="U10" s="29"/>
      <c r="V10" s="29"/>
      <c r="W10" s="29"/>
      <c r="X10" s="11"/>
      <c r="Y10" s="11"/>
      <c r="Z10" s="11"/>
      <c r="AA10" s="11"/>
      <c r="AB10" s="11"/>
      <c r="AC10" s="30"/>
    </row>
    <row r="11" spans="1:28" ht="12.75" customHeight="1">
      <c r="A11" s="85"/>
      <c r="B11" s="156"/>
      <c r="C11" s="156"/>
      <c r="D11" s="156"/>
      <c r="E11" s="156"/>
      <c r="F11" s="156"/>
      <c r="G11" s="157"/>
      <c r="H11" s="158"/>
      <c r="I11" s="159"/>
      <c r="J11" s="160"/>
      <c r="K11" s="161"/>
      <c r="L11" s="162"/>
      <c r="M11" s="163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11"/>
      <c r="Y11" s="11"/>
      <c r="Z11" s="11"/>
      <c r="AA11" s="11"/>
      <c r="AB11" s="11"/>
    </row>
    <row r="12" spans="1:28" ht="12.75" customHeight="1">
      <c r="A12" s="72">
        <v>7</v>
      </c>
      <c r="B12" s="145" t="s">
        <v>40</v>
      </c>
      <c r="C12" s="146" t="s">
        <v>95</v>
      </c>
      <c r="D12" s="147" t="str">
        <f>$D$36</f>
        <v>MTV Banteln</v>
      </c>
      <c r="E12" s="148" t="s">
        <v>21</v>
      </c>
      <c r="F12" s="147" t="str">
        <f>$D$39</f>
        <v>TSV Clauen/ Soßmar</v>
      </c>
      <c r="G12" s="149"/>
      <c r="H12" s="150"/>
      <c r="I12" s="151"/>
      <c r="J12" s="152"/>
      <c r="K12" s="153"/>
      <c r="L12" s="154">
        <f>IF($G12+$H12&lt;&gt;4,"",IF($G12&gt;$H12,2,IF($G12=$H12,1,0)))</f>
      </c>
      <c r="M12" s="155">
        <f>IF($G12+$H12&lt;&gt;4,"",2-$L12)</f>
      </c>
      <c r="N12" s="17">
        <f t="shared" si="0"/>
      </c>
      <c r="O12" s="29"/>
      <c r="P12" s="29"/>
      <c r="Q12" s="29"/>
      <c r="R12" s="29"/>
      <c r="S12" s="29"/>
      <c r="T12" s="29"/>
      <c r="U12" s="29"/>
      <c r="V12" s="29"/>
      <c r="W12" s="29"/>
      <c r="X12" s="11"/>
      <c r="Y12" s="11"/>
      <c r="Z12" s="11"/>
      <c r="AA12" s="11"/>
      <c r="AB12" s="11"/>
    </row>
    <row r="13" spans="1:28" ht="12.75" customHeight="1">
      <c r="A13" s="72">
        <v>8</v>
      </c>
      <c r="B13" s="73" t="s">
        <v>34</v>
      </c>
      <c r="C13" s="74" t="s">
        <v>96</v>
      </c>
      <c r="D13" s="75" t="str">
        <f>$D$38</f>
        <v>MTV 48 Hildesheim</v>
      </c>
      <c r="E13" s="76" t="s">
        <v>21</v>
      </c>
      <c r="F13" s="75" t="str">
        <f>$D$37</f>
        <v>TuS Holle/ Grasdorf I</v>
      </c>
      <c r="G13" s="77">
        <v>3</v>
      </c>
      <c r="H13" s="78">
        <v>1</v>
      </c>
      <c r="I13" s="79">
        <v>97</v>
      </c>
      <c r="J13" s="80">
        <v>67</v>
      </c>
      <c r="K13" s="17"/>
      <c r="L13" s="15">
        <f>IF($G13+$H13&lt;&gt;4,"",IF($G13&gt;$H13,2,IF($G13=$H13,1,0)))</f>
        <v>2</v>
      </c>
      <c r="M13" s="16">
        <f>IF($G13+$H13&lt;&gt;4,"",2-$L13)</f>
        <v>0</v>
      </c>
      <c r="N13" s="17">
        <f t="shared" si="0"/>
      </c>
      <c r="O13" s="29"/>
      <c r="P13" s="29"/>
      <c r="Q13" s="29"/>
      <c r="R13" s="29"/>
      <c r="S13" s="29"/>
      <c r="T13" s="29"/>
      <c r="U13" s="29"/>
      <c r="V13" s="29"/>
      <c r="W13" s="29"/>
      <c r="X13" s="11"/>
      <c r="Y13" s="11"/>
      <c r="Z13" s="11"/>
      <c r="AA13" s="11"/>
      <c r="AB13" s="11"/>
    </row>
    <row r="14" spans="1:28" ht="12.75" customHeight="1">
      <c r="A14" s="85"/>
      <c r="B14" s="86"/>
      <c r="C14" s="86"/>
      <c r="D14" s="86"/>
      <c r="E14" s="86"/>
      <c r="F14" s="86"/>
      <c r="G14" s="81"/>
      <c r="H14" s="82"/>
      <c r="I14" s="83"/>
      <c r="J14" s="84"/>
      <c r="K14" s="27"/>
      <c r="L14" s="25"/>
      <c r="M14" s="26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11"/>
      <c r="Y14" s="11"/>
      <c r="Z14" s="11"/>
      <c r="AA14" s="11"/>
      <c r="AB14" s="11"/>
    </row>
    <row r="15" spans="1:28" ht="12.75" customHeight="1">
      <c r="A15" s="72">
        <v>9</v>
      </c>
      <c r="B15" s="73" t="s">
        <v>40</v>
      </c>
      <c r="C15" s="74" t="s">
        <v>189</v>
      </c>
      <c r="D15" s="75" t="str">
        <f>$D$37</f>
        <v>TuS Holle/ Grasdorf I</v>
      </c>
      <c r="E15" s="76" t="s">
        <v>21</v>
      </c>
      <c r="F15" s="75" t="str">
        <f>$D$36</f>
        <v>MTV Banteln</v>
      </c>
      <c r="G15" s="77">
        <v>1</v>
      </c>
      <c r="H15" s="78">
        <v>3</v>
      </c>
      <c r="I15" s="79">
        <v>84</v>
      </c>
      <c r="J15" s="80">
        <v>95</v>
      </c>
      <c r="K15" s="14"/>
      <c r="L15" s="15">
        <f>IF($G15+$H15&lt;&gt;4,"",IF($G15&gt;$H15,2,IF($G15=$H15,1,0)))</f>
        <v>0</v>
      </c>
      <c r="M15" s="16">
        <f>IF($G15+$H15&lt;&gt;4,"",2-$L15)</f>
        <v>2</v>
      </c>
      <c r="N15" s="17">
        <f t="shared" si="0"/>
      </c>
      <c r="O15" s="29"/>
      <c r="P15" s="29"/>
      <c r="Q15" s="29"/>
      <c r="R15" s="29"/>
      <c r="S15" s="29"/>
      <c r="T15" s="29"/>
      <c r="U15" s="29"/>
      <c r="V15" s="29"/>
      <c r="W15" s="29"/>
      <c r="X15" s="11"/>
      <c r="Y15" s="11"/>
      <c r="Z15" s="11"/>
      <c r="AA15" s="11"/>
      <c r="AB15" s="11"/>
    </row>
    <row r="16" spans="1:28" ht="12.75" customHeight="1">
      <c r="A16" s="72">
        <v>10</v>
      </c>
      <c r="B16" s="145" t="s">
        <v>35</v>
      </c>
      <c r="C16" s="146" t="s">
        <v>98</v>
      </c>
      <c r="D16" s="147" t="str">
        <f>$D$39</f>
        <v>TSV Clauen/ Soßmar</v>
      </c>
      <c r="E16" s="148" t="s">
        <v>21</v>
      </c>
      <c r="F16" s="147" t="str">
        <f>$D$35</f>
        <v>SV Groß Düngen</v>
      </c>
      <c r="G16" s="149"/>
      <c r="H16" s="150"/>
      <c r="I16" s="151"/>
      <c r="J16" s="152"/>
      <c r="K16" s="153"/>
      <c r="L16" s="154">
        <f>IF($G16+$H16&lt;&gt;4,"",IF($G16&gt;$H16,2,IF($G16=$H16,1,0)))</f>
      </c>
      <c r="M16" s="155">
        <f>IF($G16+$H16&lt;&gt;4,"",2-$L16)</f>
      </c>
      <c r="N16" s="17">
        <f t="shared" si="0"/>
      </c>
      <c r="O16" s="29"/>
      <c r="P16" s="29"/>
      <c r="Q16" s="29"/>
      <c r="R16" s="29"/>
      <c r="S16" s="29"/>
      <c r="T16" s="29"/>
      <c r="U16" s="29"/>
      <c r="V16" s="29"/>
      <c r="W16" s="29"/>
      <c r="X16" s="11"/>
      <c r="Y16" s="11"/>
      <c r="Z16" s="11"/>
      <c r="AA16" s="11"/>
      <c r="AB16" s="11"/>
    </row>
    <row r="17" spans="1:28" ht="12.75" customHeight="1">
      <c r="A17" s="85"/>
      <c r="B17" s="86"/>
      <c r="C17" s="86"/>
      <c r="D17" s="86"/>
      <c r="E17" s="86"/>
      <c r="F17" s="86"/>
      <c r="G17" s="81"/>
      <c r="H17" s="82"/>
      <c r="I17" s="83"/>
      <c r="J17" s="84"/>
      <c r="K17" s="27"/>
      <c r="L17" s="25"/>
      <c r="M17" s="26"/>
      <c r="N17" s="17">
        <f t="shared" si="0"/>
      </c>
      <c r="O17" s="29"/>
      <c r="P17" s="29"/>
      <c r="Q17" s="29"/>
      <c r="R17" s="29"/>
      <c r="S17" s="29"/>
      <c r="T17" s="29"/>
      <c r="U17" s="29"/>
      <c r="V17" s="29"/>
      <c r="W17" s="29"/>
      <c r="X17" s="11"/>
      <c r="Y17" s="11"/>
      <c r="Z17" s="11"/>
      <c r="AA17" s="11"/>
      <c r="AB17" s="11"/>
    </row>
    <row r="18" spans="1:28" ht="12.75" customHeight="1">
      <c r="A18" s="72">
        <v>11</v>
      </c>
      <c r="B18" s="73" t="s">
        <v>40</v>
      </c>
      <c r="C18" s="74" t="s">
        <v>99</v>
      </c>
      <c r="D18" s="75" t="str">
        <f>$D$36</f>
        <v>MTV Banteln</v>
      </c>
      <c r="E18" s="76" t="s">
        <v>21</v>
      </c>
      <c r="F18" s="75" t="str">
        <f>$D$35</f>
        <v>SV Groß Düngen</v>
      </c>
      <c r="G18" s="77">
        <v>0</v>
      </c>
      <c r="H18" s="78">
        <v>4</v>
      </c>
      <c r="I18" s="79">
        <v>80</v>
      </c>
      <c r="J18" s="80">
        <v>100</v>
      </c>
      <c r="K18" s="14"/>
      <c r="L18" s="15">
        <f>IF($G18+$H18&lt;&gt;4,"",IF($G18&gt;$H18,2,IF($G18=$H18,1,0)))</f>
        <v>0</v>
      </c>
      <c r="M18" s="16">
        <f>IF($G18+$H18&lt;&gt;4,"",2-$L18)</f>
        <v>2</v>
      </c>
      <c r="N18" s="17">
        <f t="shared" si="0"/>
      </c>
      <c r="O18" s="29"/>
      <c r="P18" s="29"/>
      <c r="Q18" s="29"/>
      <c r="R18" s="29"/>
      <c r="S18" s="29"/>
      <c r="T18" s="29"/>
      <c r="U18" s="29"/>
      <c r="V18" s="29"/>
      <c r="W18" s="29"/>
      <c r="X18" s="11"/>
      <c r="Y18" s="11"/>
      <c r="Z18" s="11"/>
      <c r="AA18" s="11"/>
      <c r="AB18" s="11"/>
    </row>
    <row r="19" spans="1:28" ht="12.75" customHeight="1">
      <c r="A19" s="72">
        <v>12</v>
      </c>
      <c r="B19" s="145" t="s">
        <v>35</v>
      </c>
      <c r="C19" s="146" t="s">
        <v>100</v>
      </c>
      <c r="D19" s="147" t="str">
        <f>$D$39</f>
        <v>TSV Clauen/ Soßmar</v>
      </c>
      <c r="E19" s="148" t="s">
        <v>21</v>
      </c>
      <c r="F19" s="147" t="str">
        <f>$D$38</f>
        <v>MTV 48 Hildesheim</v>
      </c>
      <c r="G19" s="149"/>
      <c r="H19" s="150"/>
      <c r="I19" s="151"/>
      <c r="J19" s="152"/>
      <c r="K19" s="153"/>
      <c r="L19" s="154">
        <f>IF($G19+$H19&lt;&gt;4,"",IF($G19&gt;$H19,2,IF($G19=$H19,1,0)))</f>
      </c>
      <c r="M19" s="155">
        <f>IF($G19+$H19&lt;&gt;4,"",2-$L19)</f>
      </c>
      <c r="N19" s="17">
        <f t="shared" si="0"/>
      </c>
      <c r="O19" s="29"/>
      <c r="P19" s="29"/>
      <c r="Q19" s="29"/>
      <c r="R19" s="29"/>
      <c r="S19" s="29"/>
      <c r="T19" s="29"/>
      <c r="U19" s="29"/>
      <c r="V19" s="29"/>
      <c r="W19" s="29"/>
      <c r="X19" s="11"/>
      <c r="Y19" s="11"/>
      <c r="Z19" s="11"/>
      <c r="AA19" s="11"/>
      <c r="AB19" s="11"/>
    </row>
    <row r="20" spans="1:28" ht="12.75" customHeight="1">
      <c r="A20" s="85"/>
      <c r="B20" s="86"/>
      <c r="C20" s="86"/>
      <c r="D20" s="86"/>
      <c r="E20" s="86"/>
      <c r="F20" s="86"/>
      <c r="G20" s="81"/>
      <c r="H20" s="82"/>
      <c r="I20" s="83"/>
      <c r="J20" s="84"/>
      <c r="K20" s="27"/>
      <c r="L20" s="25"/>
      <c r="M20" s="26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11"/>
      <c r="Y20" s="11"/>
      <c r="Z20" s="11"/>
      <c r="AA20" s="11"/>
      <c r="AB20" s="11"/>
    </row>
    <row r="21" spans="1:14" ht="12.75" customHeight="1">
      <c r="A21" s="72">
        <v>13</v>
      </c>
      <c r="B21" s="73" t="s">
        <v>32</v>
      </c>
      <c r="C21" s="74" t="s">
        <v>172</v>
      </c>
      <c r="D21" s="75" t="str">
        <f>$D$35</f>
        <v>SV Groß Düngen</v>
      </c>
      <c r="E21" s="76" t="s">
        <v>21</v>
      </c>
      <c r="F21" s="75" t="str">
        <f>$D$37</f>
        <v>TuS Holle/ Grasdorf I</v>
      </c>
      <c r="G21" s="77">
        <v>4</v>
      </c>
      <c r="H21" s="78">
        <v>0</v>
      </c>
      <c r="I21" s="79">
        <v>100</v>
      </c>
      <c r="J21" s="80">
        <v>60</v>
      </c>
      <c r="K21" s="14"/>
      <c r="L21" s="15">
        <f>IF($G21+$H21&lt;&gt;4,"",IF($G21&gt;$H21,2,IF($G21=$H21,1,0)))</f>
        <v>2</v>
      </c>
      <c r="M21" s="16">
        <f>IF($G21+$H21&lt;&gt;4,"",2-$L21)</f>
        <v>0</v>
      </c>
      <c r="N21" s="17">
        <f t="shared" si="0"/>
      </c>
    </row>
    <row r="22" spans="1:34" ht="12.75" customHeight="1">
      <c r="A22" s="72">
        <v>14</v>
      </c>
      <c r="B22" s="73" t="s">
        <v>34</v>
      </c>
      <c r="C22" s="74" t="s">
        <v>101</v>
      </c>
      <c r="D22" s="75" t="str">
        <f>$D$38</f>
        <v>MTV 48 Hildesheim</v>
      </c>
      <c r="E22" s="76" t="s">
        <v>21</v>
      </c>
      <c r="F22" s="75" t="str">
        <f>$D$36</f>
        <v>MTV Banteln</v>
      </c>
      <c r="G22" s="77">
        <v>4</v>
      </c>
      <c r="H22" s="78">
        <v>0</v>
      </c>
      <c r="I22" s="79">
        <v>101</v>
      </c>
      <c r="J22" s="80">
        <v>71</v>
      </c>
      <c r="K22" s="17"/>
      <c r="L22" s="15">
        <f>IF($G22+$H22&lt;&gt;4,"",IF($G22&gt;$H22,2,IF($G22=$H22,1,0)))</f>
        <v>2</v>
      </c>
      <c r="M22" s="16">
        <f>IF($G22+$H22&lt;&gt;4,"",2-$L22)</f>
        <v>0</v>
      </c>
      <c r="N22" s="17">
        <f t="shared" si="0"/>
      </c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6"/>
      <c r="Z22" s="36"/>
      <c r="AA22" s="36"/>
      <c r="AB22" s="36"/>
      <c r="AC22" s="37"/>
      <c r="AD22" s="37"/>
      <c r="AE22" s="37"/>
      <c r="AF22" s="37"/>
      <c r="AG22" s="37"/>
      <c r="AH22" s="37"/>
    </row>
    <row r="23" spans="1:14" ht="12.75" customHeight="1">
      <c r="A23" s="85"/>
      <c r="B23" s="86"/>
      <c r="C23" s="86"/>
      <c r="D23" s="86"/>
      <c r="E23" s="86"/>
      <c r="F23" s="86"/>
      <c r="G23" s="81"/>
      <c r="H23" s="82"/>
      <c r="I23" s="83"/>
      <c r="J23" s="84"/>
      <c r="K23" s="27"/>
      <c r="L23" s="25"/>
      <c r="M23" s="26"/>
      <c r="N23" s="28"/>
    </row>
    <row r="24" spans="1:14" ht="12.75" customHeight="1">
      <c r="A24" s="72">
        <v>15</v>
      </c>
      <c r="B24" s="73" t="s">
        <v>34</v>
      </c>
      <c r="C24" s="74" t="s">
        <v>76</v>
      </c>
      <c r="D24" s="75" t="str">
        <f>$D$38</f>
        <v>MTV 48 Hildesheim</v>
      </c>
      <c r="E24" s="76" t="s">
        <v>21</v>
      </c>
      <c r="F24" s="75" t="str">
        <f>$D$35</f>
        <v>SV Groß Düngen</v>
      </c>
      <c r="G24" s="77">
        <v>2</v>
      </c>
      <c r="H24" s="78">
        <v>2</v>
      </c>
      <c r="I24" s="79">
        <v>85</v>
      </c>
      <c r="J24" s="80">
        <v>82</v>
      </c>
      <c r="K24" s="14"/>
      <c r="L24" s="15">
        <f>IF($G24+$H24&lt;&gt;4,"",IF($G24&gt;$H24,2,IF($G24=$H24,1,0)))</f>
        <v>1</v>
      </c>
      <c r="M24" s="16">
        <f>IF($G24+$H24&lt;&gt;4,"",2-$L24)</f>
        <v>1</v>
      </c>
      <c r="N24" s="17">
        <f t="shared" si="0"/>
      </c>
    </row>
    <row r="25" spans="1:14" ht="12.75" customHeight="1">
      <c r="A25" s="72">
        <v>16</v>
      </c>
      <c r="B25" s="145" t="s">
        <v>40</v>
      </c>
      <c r="C25" s="146" t="s">
        <v>102</v>
      </c>
      <c r="D25" s="147" t="str">
        <f>$D$37</f>
        <v>TuS Holle/ Grasdorf I</v>
      </c>
      <c r="E25" s="148" t="s">
        <v>21</v>
      </c>
      <c r="F25" s="147" t="str">
        <f>$D$39</f>
        <v>TSV Clauen/ Soßmar</v>
      </c>
      <c r="G25" s="149"/>
      <c r="H25" s="150"/>
      <c r="I25" s="151"/>
      <c r="J25" s="152"/>
      <c r="K25" s="153"/>
      <c r="L25" s="154">
        <f>IF($G25+$H25&lt;&gt;4,"",IF($G25&gt;$H25,2,IF($G25=$H25,1,0)))</f>
      </c>
      <c r="M25" s="155">
        <f>IF($G25+$H25&lt;&gt;4,"",2-$L25)</f>
      </c>
      <c r="N25" s="17">
        <f t="shared" si="0"/>
      </c>
    </row>
    <row r="26" spans="1:14" ht="12.75" customHeight="1">
      <c r="A26" s="87"/>
      <c r="B26" s="156"/>
      <c r="C26" s="156"/>
      <c r="D26" s="156"/>
      <c r="E26" s="156"/>
      <c r="F26" s="156"/>
      <c r="G26" s="157"/>
      <c r="H26" s="158"/>
      <c r="I26" s="159"/>
      <c r="J26" s="160"/>
      <c r="K26" s="161"/>
      <c r="L26" s="162"/>
      <c r="M26" s="163"/>
      <c r="N26" s="28"/>
    </row>
    <row r="27" spans="1:14" ht="12.75" customHeight="1">
      <c r="A27" s="72">
        <v>17</v>
      </c>
      <c r="B27" s="145" t="s">
        <v>35</v>
      </c>
      <c r="C27" s="146" t="s">
        <v>103</v>
      </c>
      <c r="D27" s="147" t="str">
        <f>$D$39</f>
        <v>TSV Clauen/ Soßmar</v>
      </c>
      <c r="E27" s="148" t="s">
        <v>21</v>
      </c>
      <c r="F27" s="147" t="str">
        <f>$D$36</f>
        <v>MTV Banteln</v>
      </c>
      <c r="G27" s="149"/>
      <c r="H27" s="150"/>
      <c r="I27" s="151"/>
      <c r="J27" s="152"/>
      <c r="K27" s="164"/>
      <c r="L27" s="154">
        <f>IF($G27+$H27&lt;&gt;4,"",IF($G27&gt;$H27,2,IF($G27=$H27,1,0)))</f>
      </c>
      <c r="M27" s="155">
        <f>IF($G27+$H27&lt;&gt;4,"",2-$L27)</f>
      </c>
      <c r="N27" s="17">
        <f t="shared" si="0"/>
      </c>
    </row>
    <row r="28" spans="1:14" ht="12.75" customHeight="1">
      <c r="A28" s="72">
        <v>18</v>
      </c>
      <c r="B28" s="73" t="s">
        <v>40</v>
      </c>
      <c r="C28" s="74" t="s">
        <v>185</v>
      </c>
      <c r="D28" s="75" t="str">
        <f>$D$37</f>
        <v>TuS Holle/ Grasdorf I</v>
      </c>
      <c r="E28" s="76" t="s">
        <v>21</v>
      </c>
      <c r="F28" s="75" t="str">
        <f>$D$38</f>
        <v>MTV 48 Hildesheim</v>
      </c>
      <c r="G28" s="77">
        <v>1</v>
      </c>
      <c r="H28" s="78">
        <v>3</v>
      </c>
      <c r="I28" s="79">
        <v>82</v>
      </c>
      <c r="J28" s="80">
        <v>93</v>
      </c>
      <c r="K28" s="17"/>
      <c r="L28" s="15">
        <f>IF($G28+$H28&lt;&gt;4,"",IF($G28&gt;$H28,2,IF($G28=$H28,1,0)))</f>
        <v>0</v>
      </c>
      <c r="M28" s="16">
        <f>IF($G28+$H28&lt;&gt;4,"",2-$L28)</f>
        <v>2</v>
      </c>
      <c r="N28" s="17">
        <f t="shared" si="0"/>
      </c>
    </row>
    <row r="29" spans="1:14" ht="12.75" customHeight="1">
      <c r="A29" s="85"/>
      <c r="B29" s="86"/>
      <c r="C29" s="86"/>
      <c r="D29" s="86"/>
      <c r="E29" s="86"/>
      <c r="F29" s="86"/>
      <c r="G29" s="81"/>
      <c r="H29" s="82"/>
      <c r="I29" s="83"/>
      <c r="J29" s="84"/>
      <c r="K29" s="27"/>
      <c r="L29" s="25"/>
      <c r="M29" s="26"/>
      <c r="N29" s="28"/>
    </row>
    <row r="30" spans="1:14" ht="12.75" customHeight="1">
      <c r="A30" s="72">
        <v>19</v>
      </c>
      <c r="B30" s="73" t="s">
        <v>40</v>
      </c>
      <c r="C30" s="74" t="s">
        <v>89</v>
      </c>
      <c r="D30" s="75" t="str">
        <f>$D$36</f>
        <v>MTV Banteln</v>
      </c>
      <c r="E30" s="76" t="s">
        <v>21</v>
      </c>
      <c r="F30" s="75" t="str">
        <f>$D$37</f>
        <v>TuS Holle/ Grasdorf I</v>
      </c>
      <c r="G30" s="77">
        <v>4</v>
      </c>
      <c r="H30" s="78">
        <v>0</v>
      </c>
      <c r="I30" s="79">
        <v>100</v>
      </c>
      <c r="J30" s="80">
        <v>70</v>
      </c>
      <c r="K30" s="14"/>
      <c r="L30" s="15">
        <f>IF($G30+$H30&lt;&gt;4,"",IF($G30&gt;$H30,2,IF($G30=$H30,1,0)))</f>
        <v>2</v>
      </c>
      <c r="M30" s="16">
        <f>IF($G30+$H30&lt;&gt;4,"",2-$L30)</f>
        <v>0</v>
      </c>
      <c r="N30" s="17">
        <f t="shared" si="0"/>
      </c>
    </row>
    <row r="31" spans="1:14" ht="12.75" customHeight="1">
      <c r="A31" s="72">
        <v>20</v>
      </c>
      <c r="B31" s="145" t="s">
        <v>32</v>
      </c>
      <c r="C31" s="146" t="s">
        <v>90</v>
      </c>
      <c r="D31" s="147" t="str">
        <f>$D$35</f>
        <v>SV Groß Düngen</v>
      </c>
      <c r="E31" s="148" t="s">
        <v>21</v>
      </c>
      <c r="F31" s="147" t="str">
        <f>$D$39</f>
        <v>TSV Clauen/ Soßmar</v>
      </c>
      <c r="G31" s="149"/>
      <c r="H31" s="150"/>
      <c r="I31" s="151"/>
      <c r="J31" s="152"/>
      <c r="K31" s="153"/>
      <c r="L31" s="154">
        <f>IF($G31+$H31&lt;&gt;4,"",IF($G31&gt;$H31,2,IF($G31=$H31,1,0)))</f>
      </c>
      <c r="M31" s="155">
        <f>IF($G31+$H31&lt;&gt;4,"",2-$L31)</f>
      </c>
      <c r="N31" s="17">
        <f t="shared" si="0"/>
      </c>
    </row>
    <row r="32" spans="1:13" ht="12.75" customHeight="1">
      <c r="A32" s="38"/>
      <c r="B32" s="38"/>
      <c r="C32" s="39"/>
      <c r="D32" s="40"/>
      <c r="E32" s="41"/>
      <c r="F32" s="42"/>
      <c r="L32" s="29"/>
      <c r="M32" s="29"/>
    </row>
    <row r="33" spans="1:35" s="48" customFormat="1" ht="12.75" customHeight="1">
      <c r="A33" s="68" t="s">
        <v>22</v>
      </c>
      <c r="B33" s="43"/>
      <c r="C33" s="43"/>
      <c r="D33" s="44"/>
      <c r="E33" s="45"/>
      <c r="F33" s="44"/>
      <c r="G33" s="185">
        <f>SUM(G3:H32)</f>
        <v>48</v>
      </c>
      <c r="H33" s="185"/>
      <c r="I33" s="185">
        <f>SUM(I3:J32)</f>
        <v>2053</v>
      </c>
      <c r="J33" s="185"/>
      <c r="K33" s="47"/>
      <c r="L33" s="185">
        <f>SUM(L3:M32)</f>
        <v>24</v>
      </c>
      <c r="M33" s="185"/>
      <c r="N33" s="36"/>
      <c r="O33" s="34"/>
      <c r="P33" s="34"/>
      <c r="Q33" s="34"/>
      <c r="R33" s="34"/>
      <c r="S33" s="34"/>
      <c r="T33" s="34"/>
      <c r="U33" s="34"/>
      <c r="V33" s="34"/>
      <c r="W33" s="34"/>
      <c r="X33" s="14"/>
      <c r="Y33" s="14"/>
      <c r="Z33" s="14"/>
      <c r="AA33" s="14"/>
      <c r="AB33" s="14"/>
      <c r="AC33" s="31"/>
      <c r="AD33" s="31"/>
      <c r="AE33" s="31"/>
      <c r="AF33" s="31"/>
      <c r="AG33" s="31"/>
      <c r="AH33" s="31"/>
      <c r="AI33" s="37"/>
    </row>
    <row r="34" spans="4:6" ht="12.75">
      <c r="D34" s="42"/>
      <c r="E34" s="41"/>
      <c r="F34" s="42"/>
    </row>
    <row r="35" spans="1:34" ht="12.75">
      <c r="A35" s="50" t="s">
        <v>23</v>
      </c>
      <c r="B35" s="51"/>
      <c r="C35" s="52"/>
      <c r="D35" s="53" t="s">
        <v>43</v>
      </c>
      <c r="E35" s="41"/>
      <c r="F35" s="42"/>
      <c r="AD35" s="54" t="s">
        <v>24</v>
      </c>
      <c r="AE35" s="55"/>
      <c r="AF35" s="55"/>
      <c r="AG35" s="55"/>
      <c r="AH35" s="56"/>
    </row>
    <row r="36" spans="1:34" ht="12.75">
      <c r="A36" s="57"/>
      <c r="B36" s="57"/>
      <c r="C36" s="58"/>
      <c r="D36" s="53" t="s">
        <v>50</v>
      </c>
      <c r="E36" s="41"/>
      <c r="F36" s="42"/>
      <c r="AD36" s="59" t="s">
        <v>25</v>
      </c>
      <c r="AE36" s="60"/>
      <c r="AF36" s="60"/>
      <c r="AG36" s="60"/>
      <c r="AH36" s="61"/>
    </row>
    <row r="37" spans="1:34" ht="12.75">
      <c r="A37" s="62"/>
      <c r="B37" s="62"/>
      <c r="C37" s="63"/>
      <c r="D37" s="53" t="s">
        <v>48</v>
      </c>
      <c r="E37" s="41"/>
      <c r="F37" s="42"/>
      <c r="AD37" s="59" t="s">
        <v>26</v>
      </c>
      <c r="AE37" s="60"/>
      <c r="AF37" s="60"/>
      <c r="AG37" s="60"/>
      <c r="AH37" s="61"/>
    </row>
    <row r="38" spans="1:34" ht="12.75">
      <c r="A38" s="62"/>
      <c r="B38" s="62"/>
      <c r="C38" s="63"/>
      <c r="D38" s="53" t="s">
        <v>45</v>
      </c>
      <c r="E38" s="41"/>
      <c r="F38" s="42"/>
      <c r="AD38" s="59" t="s">
        <v>27</v>
      </c>
      <c r="AE38" s="60"/>
      <c r="AF38" s="60"/>
      <c r="AG38" s="60"/>
      <c r="AH38" s="61"/>
    </row>
    <row r="39" spans="4:34" ht="12.75">
      <c r="D39" s="53" t="s">
        <v>38</v>
      </c>
      <c r="E39" s="41"/>
      <c r="F39" s="42"/>
      <c r="AD39" s="64" t="s">
        <v>28</v>
      </c>
      <c r="AE39" s="65"/>
      <c r="AF39" s="65"/>
      <c r="AG39" s="65"/>
      <c r="AH39" s="66"/>
    </row>
  </sheetData>
  <sheetProtection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AH30" sqref="AH30"/>
    </sheetView>
  </sheetViews>
  <sheetFormatPr defaultColWidth="11.421875" defaultRowHeight="12.75"/>
  <cols>
    <col min="1" max="1" width="5.57421875" style="49" customWidth="1"/>
    <col min="2" max="2" width="3.7109375" style="49" customWidth="1"/>
    <col min="3" max="3" width="10.57421875" style="49" customWidth="1"/>
    <col min="4" max="4" width="20.7109375" style="49" customWidth="1"/>
    <col min="5" max="5" width="2.57421875" style="67" customWidth="1"/>
    <col min="6" max="6" width="20.7109375" style="49" customWidth="1"/>
    <col min="7" max="7" width="4.7109375" style="29" customWidth="1"/>
    <col min="8" max="8" width="4.421875" style="29" customWidth="1"/>
    <col min="9" max="9" width="5.57421875" style="34" customWidth="1"/>
    <col min="10" max="10" width="5.8515625" style="34" customWidth="1"/>
    <col min="11" max="11" width="0.71875" style="34" customWidth="1"/>
    <col min="12" max="13" width="5.8515625" style="34" customWidth="1"/>
    <col min="14" max="14" width="3.7109375" style="14" customWidth="1"/>
    <col min="15" max="15" width="5.140625" style="34" hidden="1" customWidth="1"/>
    <col min="16" max="16" width="20.7109375" style="34" hidden="1" customWidth="1"/>
    <col min="17" max="17" width="5.8515625" style="34" hidden="1" customWidth="1"/>
    <col min="18" max="23" width="5.57421875" style="34" hidden="1" customWidth="1"/>
    <col min="24" max="26" width="5.57421875" style="14" hidden="1" customWidth="1"/>
    <col min="27" max="27" width="9.57421875" style="14" hidden="1" customWidth="1"/>
    <col min="28" max="28" width="1.57421875" style="14" hidden="1" customWidth="1"/>
    <col min="29" max="29" width="5.421875" style="31" customWidth="1"/>
    <col min="30" max="30" width="21.140625" style="31" customWidth="1"/>
    <col min="31" max="31" width="5.7109375" style="31" customWidth="1"/>
    <col min="32" max="34" width="8.421875" style="31" customWidth="1"/>
    <col min="35" max="35" width="11.421875" style="31" customWidth="1"/>
  </cols>
  <sheetData>
    <row r="1" spans="1:38" s="5" customFormat="1" ht="21" customHeight="1">
      <c r="A1" s="186" t="s">
        <v>59</v>
      </c>
      <c r="B1" s="187"/>
      <c r="C1" s="187"/>
      <c r="D1" s="187"/>
      <c r="E1" s="187"/>
      <c r="F1" s="188"/>
      <c r="G1" s="189" t="s">
        <v>0</v>
      </c>
      <c r="H1" s="190"/>
      <c r="I1" s="190"/>
      <c r="J1" s="191"/>
      <c r="K1" s="1"/>
      <c r="L1" s="192" t="s">
        <v>1</v>
      </c>
      <c r="M1" s="193"/>
      <c r="N1" s="2"/>
      <c r="O1" s="170" t="s">
        <v>2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  <c r="AB1" s="3"/>
      <c r="AC1" s="173" t="s">
        <v>145</v>
      </c>
      <c r="AD1" s="174"/>
      <c r="AE1" s="174"/>
      <c r="AF1" s="174"/>
      <c r="AG1" s="174"/>
      <c r="AH1" s="175"/>
      <c r="AI1" s="4"/>
      <c r="AJ1" s="4"/>
      <c r="AK1" s="4"/>
      <c r="AL1" s="4"/>
    </row>
    <row r="2" spans="1:35" s="13" customFormat="1" ht="35.25" customHeight="1">
      <c r="A2" s="69" t="s">
        <v>3</v>
      </c>
      <c r="B2" s="70" t="s">
        <v>4</v>
      </c>
      <c r="C2" s="71" t="s">
        <v>5</v>
      </c>
      <c r="D2" s="176" t="str">
        <f>IF(D35="","Bitte zuerst die 5 Mannschaftsnamen unten ab Zeile 35 eingeben","Spielpaarung")</f>
        <v>Spielpaarung</v>
      </c>
      <c r="E2" s="177"/>
      <c r="F2" s="178"/>
      <c r="G2" s="179" t="s">
        <v>6</v>
      </c>
      <c r="H2" s="180"/>
      <c r="I2" s="181" t="s">
        <v>7</v>
      </c>
      <c r="J2" s="182"/>
      <c r="K2" s="6"/>
      <c r="L2" s="183" t="s">
        <v>8</v>
      </c>
      <c r="M2" s="184"/>
      <c r="N2" s="6"/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7" t="s">
        <v>8</v>
      </c>
      <c r="U2" s="8" t="s">
        <v>14</v>
      </c>
      <c r="V2" s="9" t="s">
        <v>15</v>
      </c>
      <c r="W2" s="7" t="s">
        <v>16</v>
      </c>
      <c r="X2" s="9" t="s">
        <v>17</v>
      </c>
      <c r="Y2" s="9" t="s">
        <v>18</v>
      </c>
      <c r="Z2" s="7" t="s">
        <v>19</v>
      </c>
      <c r="AA2" s="10" t="s">
        <v>20</v>
      </c>
      <c r="AB2" s="11"/>
      <c r="AC2" s="12" t="s">
        <v>9</v>
      </c>
      <c r="AD2" s="12" t="s">
        <v>10</v>
      </c>
      <c r="AE2" s="12" t="s">
        <v>11</v>
      </c>
      <c r="AF2" s="12" t="s">
        <v>8</v>
      </c>
      <c r="AG2" s="12" t="s">
        <v>16</v>
      </c>
      <c r="AH2" s="12" t="s">
        <v>19</v>
      </c>
      <c r="AI2" s="4"/>
    </row>
    <row r="3" spans="1:35" ht="12.75" customHeight="1">
      <c r="A3" s="72">
        <v>1</v>
      </c>
      <c r="B3" s="73" t="s">
        <v>35</v>
      </c>
      <c r="C3" s="74" t="s">
        <v>64</v>
      </c>
      <c r="D3" s="103" t="str">
        <f>$D$35</f>
        <v>CVJM Sarstedt</v>
      </c>
      <c r="E3" s="127" t="s">
        <v>21</v>
      </c>
      <c r="F3" s="103" t="str">
        <f>$D$36</f>
        <v>TSV Brunkensen II</v>
      </c>
      <c r="G3" s="77">
        <v>0</v>
      </c>
      <c r="H3" s="78">
        <v>4</v>
      </c>
      <c r="I3" s="79">
        <v>65</v>
      </c>
      <c r="J3" s="80">
        <v>100</v>
      </c>
      <c r="K3" s="14"/>
      <c r="L3" s="15">
        <f>IF($G3+$H3&lt;&gt;4,"",IF($G3&gt;$H3,2,IF($G3=$H3,1,0)))</f>
        <v>0</v>
      </c>
      <c r="M3" s="16">
        <f>IF($G3+$H3&lt;&gt;4,"",2-$L3)</f>
        <v>2</v>
      </c>
      <c r="N3" s="17">
        <f aca="true" t="shared" si="0" ref="N3:N31">IF(AND(G3&lt;&gt;"",H3&lt;&gt;"",G3+H3&lt;&gt;4),"!!!","")</f>
      </c>
      <c r="O3" s="18">
        <f>RANK(AA3,$AA$3:$AA$7)</f>
        <v>3</v>
      </c>
      <c r="P3" s="19" t="str">
        <f>D35</f>
        <v>CVJM Sarstedt</v>
      </c>
      <c r="Q3" s="18">
        <f>(R3+S3)/2</f>
        <v>8</v>
      </c>
      <c r="R3" s="20">
        <f>SUMIF($D$3:$D$31,$P3,$L$3:$L$31)+SUMIF($F$3:$F$31,$P3,$M$3:$M$31)</f>
        <v>7</v>
      </c>
      <c r="S3" s="21">
        <f>SUMIF($D$3:$D$31,$P3,$M$3:$M$31)+SUMIF($F$3:$F$31,$P3,$L$3:$L$31)</f>
        <v>9</v>
      </c>
      <c r="T3" s="18" t="str">
        <f>R3&amp;" : "&amp;S3</f>
        <v>7 : 9</v>
      </c>
      <c r="U3" s="20">
        <f>SUMIF($D$3:$D$31,$P3,$G$3:$G$31)+SUMIF($F$3:$F$31,$P3,$H$3:$H$31)</f>
        <v>12</v>
      </c>
      <c r="V3" s="21">
        <f>SUMIF($D$3:$D$31,$P3,$H$3:$H$31)+SUMIF($F$3:$F$31,$P3,$G$3:$G$31)</f>
        <v>20</v>
      </c>
      <c r="W3" s="18" t="str">
        <f>U3&amp;" : "&amp;V3</f>
        <v>12 : 20</v>
      </c>
      <c r="X3" s="20">
        <f>SUMIF($D$3:$D$31,$P3,$I$3:$I$31)+SUMIF($F$3:$F$31,$P3,$J$3:$J$31)</f>
        <v>658</v>
      </c>
      <c r="Y3" s="21">
        <f>SUMIF($D$3:$D$31,$P3,$J$3:$J$31)+SUMIF($F$3:$F$31,$P3,$I$3:$I$31)</f>
        <v>734</v>
      </c>
      <c r="Z3" s="18" t="str">
        <f>X3&amp;" : "&amp;Y3</f>
        <v>658 : 734</v>
      </c>
      <c r="AA3" s="22">
        <f>R3*1000000000+(R3-S3)*10000000+(U3-V3)*10000+(X3-Y3)-ROW(P3)/100</f>
        <v>6979919923.97</v>
      </c>
      <c r="AB3" s="11"/>
      <c r="AC3" s="125">
        <v>1</v>
      </c>
      <c r="AD3" s="126" t="str">
        <f>VLOOKUP($AC3,$O$3:$P$7,2,FALSE)</f>
        <v>SG Borsum/Harsum/Achtum</v>
      </c>
      <c r="AE3" s="125">
        <f>VLOOKUP($AC3,$O$3:$Z$7,3,FALSE)</f>
        <v>8</v>
      </c>
      <c r="AF3" s="125" t="str">
        <f>VLOOKUP($AC3,$O$3:$Z$7,6,FALSE)</f>
        <v>12 : 4</v>
      </c>
      <c r="AG3" s="125" t="str">
        <f>VLOOKUP($AC3,$O$3:$Z$7,9,FALSE)</f>
        <v>21 : 11</v>
      </c>
      <c r="AH3" s="125" t="str">
        <f>VLOOKUP($AC3,$O$3:$Z$7,12,FALSE)</f>
        <v>749 : 634</v>
      </c>
      <c r="AI3"/>
    </row>
    <row r="4" spans="1:35" ht="12.75" customHeight="1">
      <c r="A4" s="72">
        <v>2</v>
      </c>
      <c r="B4" s="73" t="s">
        <v>35</v>
      </c>
      <c r="C4" s="74" t="s">
        <v>142</v>
      </c>
      <c r="D4" s="103" t="str">
        <f>$D$38</f>
        <v>SG Borsum/Harsum/Achtum</v>
      </c>
      <c r="E4" s="127" t="s">
        <v>21</v>
      </c>
      <c r="F4" s="103" t="str">
        <f>$D$37</f>
        <v>SV Hildesia Diekholzen I</v>
      </c>
      <c r="G4" s="77">
        <v>2</v>
      </c>
      <c r="H4" s="78">
        <v>2</v>
      </c>
      <c r="I4" s="79">
        <v>93</v>
      </c>
      <c r="J4" s="80">
        <v>92</v>
      </c>
      <c r="K4" s="17"/>
      <c r="L4" s="15">
        <f>IF($G4+$H4&lt;&gt;4,"",IF($G4&gt;$H4,2,IF($G4=$H4,1,0)))</f>
        <v>1</v>
      </c>
      <c r="M4" s="16">
        <f>IF($G4+$H4&lt;&gt;4,"",2-$L4)</f>
        <v>1</v>
      </c>
      <c r="N4" s="17">
        <f t="shared" si="0"/>
      </c>
      <c r="O4" s="18">
        <f>RANK(AA4,$AA$3:$AA$7)</f>
        <v>2</v>
      </c>
      <c r="P4" s="19" t="str">
        <f>D36</f>
        <v>TSV Brunkensen II</v>
      </c>
      <c r="Q4" s="18">
        <f>(R4+S4)/2</f>
        <v>8</v>
      </c>
      <c r="R4" s="20">
        <f>SUMIF($D$3:$D$31,$P4,$L$3:$L$31)+SUMIF($F$3:$F$31,$P4,$M$3:$M$31)</f>
        <v>10</v>
      </c>
      <c r="S4" s="21">
        <f>SUMIF($D$3:$D$31,$P4,$M$3:$M$31)+SUMIF($F$3:$F$31,$P4,$L$3:$L$31)</f>
        <v>6</v>
      </c>
      <c r="T4" s="18" t="str">
        <f>R4&amp;" : "&amp;S4</f>
        <v>10 : 6</v>
      </c>
      <c r="U4" s="20">
        <f>SUMIF($D$3:$D$31,$P4,$G$3:$G$31)+SUMIF($F$3:$F$31,$P4,$H$3:$H$31)</f>
        <v>20</v>
      </c>
      <c r="V4" s="21">
        <f>SUMIF($D$3:$D$31,$P4,$H$3:$H$31)+SUMIF($F$3:$F$31,$P4,$G$3:$G$31)</f>
        <v>12</v>
      </c>
      <c r="W4" s="18" t="str">
        <f>U4&amp;" : "&amp;V4</f>
        <v>20 : 12</v>
      </c>
      <c r="X4" s="20">
        <f>SUMIF($D$3:$D$31,$P4,$I$3:$I$31)+SUMIF($F$3:$F$31,$P4,$J$3:$J$31)</f>
        <v>735</v>
      </c>
      <c r="Y4" s="21">
        <f>SUMIF($D$3:$D$31,$P4,$J$3:$J$31)+SUMIF($F$3:$F$31,$P4,$I$3:$I$31)</f>
        <v>678</v>
      </c>
      <c r="Z4" s="18" t="str">
        <f>X4&amp;" : "&amp;Y4</f>
        <v>735 : 678</v>
      </c>
      <c r="AA4" s="22">
        <f>R4*1000000000+(R4-S4)*10000000+(U4-V4)*10000+(X4-Y4)-ROW(P4)/100</f>
        <v>10040080056.96</v>
      </c>
      <c r="AB4" s="11"/>
      <c r="AC4" s="125">
        <v>2</v>
      </c>
      <c r="AD4" s="126" t="str">
        <f>VLOOKUP($AC4,$O$3:$Z$7,2,FALSE)</f>
        <v>TSV Brunkensen II</v>
      </c>
      <c r="AE4" s="125">
        <f>VLOOKUP($AC4,$O$3:$Z$7,3,FALSE)</f>
        <v>8</v>
      </c>
      <c r="AF4" s="125" t="str">
        <f>VLOOKUP($AC4,$O$3:$Z$7,6,FALSE)</f>
        <v>10 : 6</v>
      </c>
      <c r="AG4" s="125" t="str">
        <f>VLOOKUP($AC4,$O$3:$Z$7,9,FALSE)</f>
        <v>20 : 12</v>
      </c>
      <c r="AH4" s="125" t="str">
        <f>VLOOKUP($AC4,$O$3:$Z$7,12,FALSE)</f>
        <v>735 : 678</v>
      </c>
      <c r="AI4"/>
    </row>
    <row r="5" spans="1:35" ht="12.75" customHeight="1">
      <c r="A5" s="85"/>
      <c r="B5" s="86"/>
      <c r="C5" s="86"/>
      <c r="D5" s="128"/>
      <c r="E5" s="128"/>
      <c r="F5" s="128"/>
      <c r="G5" s="81"/>
      <c r="H5" s="82"/>
      <c r="I5" s="83"/>
      <c r="J5" s="84"/>
      <c r="K5" s="27"/>
      <c r="L5" s="25"/>
      <c r="M5" s="26"/>
      <c r="N5" s="28"/>
      <c r="O5" s="18">
        <f>RANK(AA5,$AA$3:$AA$7)</f>
        <v>5</v>
      </c>
      <c r="P5" s="19" t="str">
        <f>D37</f>
        <v>SV Hildesia Diekholzen I</v>
      </c>
      <c r="Q5" s="18">
        <f>(R5+S5)/2</f>
        <v>8</v>
      </c>
      <c r="R5" s="20">
        <f>SUMIF($D$3:$D$31,$P5,$L$3:$L$31)+SUMIF($F$3:$F$31,$P5,$M$3:$M$31)</f>
        <v>5</v>
      </c>
      <c r="S5" s="21">
        <f>SUMIF($D$3:$D$31,$P5,$M$3:$M$31)+SUMIF($F$3:$F$31,$P5,$L$3:$L$31)</f>
        <v>11</v>
      </c>
      <c r="T5" s="18" t="str">
        <f>R5&amp;" : "&amp;S5</f>
        <v>5 : 11</v>
      </c>
      <c r="U5" s="20">
        <f>SUMIF($D$3:$D$31,$P5,$G$3:$G$31)+SUMIF($F$3:$F$31,$P5,$H$3:$H$31)</f>
        <v>13</v>
      </c>
      <c r="V5" s="21">
        <f>SUMIF($D$3:$D$31,$P5,$H$3:$H$31)+SUMIF($F$3:$F$31,$P5,$G$3:$G$31)</f>
        <v>19</v>
      </c>
      <c r="W5" s="18" t="str">
        <f>U5&amp;" : "&amp;V5</f>
        <v>13 : 19</v>
      </c>
      <c r="X5" s="20">
        <f>SUMIF($D$3:$D$31,$P5,$I$3:$I$31)+SUMIF($F$3:$F$31,$P5,$J$3:$J$31)</f>
        <v>666</v>
      </c>
      <c r="Y5" s="21">
        <f>SUMIF($D$3:$D$31,$P5,$J$3:$J$31)+SUMIF($F$3:$F$31,$P5,$I$3:$I$31)</f>
        <v>746</v>
      </c>
      <c r="Z5" s="18" t="str">
        <f>X5&amp;" : "&amp;Y5</f>
        <v>666 : 746</v>
      </c>
      <c r="AA5" s="22">
        <f>R5*1000000000+(R5-S5)*10000000+(U5-V5)*10000+(X5-Y5)-ROW(P5)/100</f>
        <v>4939939919.95</v>
      </c>
      <c r="AB5" s="11"/>
      <c r="AC5" s="125">
        <v>3</v>
      </c>
      <c r="AD5" s="126" t="str">
        <f>VLOOKUP($AC5,$O$3:$Z$7,2,FALSE)</f>
        <v>CVJM Sarstedt</v>
      </c>
      <c r="AE5" s="125">
        <f>VLOOKUP($AC5,$O$3:$Z$7,3,FALSE)</f>
        <v>8</v>
      </c>
      <c r="AF5" s="125" t="str">
        <f>VLOOKUP($AC5,$O$3:$Z$7,6,FALSE)</f>
        <v>7 : 9</v>
      </c>
      <c r="AG5" s="125" t="str">
        <f>VLOOKUP($AC5,$O$3:$Z$7,9,FALSE)</f>
        <v>12 : 20</v>
      </c>
      <c r="AH5" s="125" t="str">
        <f>VLOOKUP($AC5,$O$3:$Z$7,12,FALSE)</f>
        <v>658 : 734</v>
      </c>
      <c r="AI5"/>
    </row>
    <row r="6" spans="1:35" ht="12.75" customHeight="1">
      <c r="A6" s="72">
        <v>3</v>
      </c>
      <c r="B6" s="73" t="s">
        <v>32</v>
      </c>
      <c r="C6" s="74" t="s">
        <v>66</v>
      </c>
      <c r="D6" s="103" t="str">
        <f>$D$39</f>
        <v>TSV Sibbesse</v>
      </c>
      <c r="E6" s="127" t="s">
        <v>21</v>
      </c>
      <c r="F6" s="103" t="str">
        <f>$D$35</f>
        <v>CVJM Sarstedt</v>
      </c>
      <c r="G6" s="77">
        <v>1</v>
      </c>
      <c r="H6" s="78">
        <v>3</v>
      </c>
      <c r="I6" s="79">
        <v>77</v>
      </c>
      <c r="J6" s="80">
        <v>83</v>
      </c>
      <c r="K6" s="14"/>
      <c r="L6" s="15">
        <f>IF($G6+$H6&lt;&gt;4,"",IF($G6&gt;$H6,2,IF($G6=$H6,1,0)))</f>
        <v>0</v>
      </c>
      <c r="M6" s="16">
        <f>IF($G6+$H6&lt;&gt;4,"",2-$L6)</f>
        <v>2</v>
      </c>
      <c r="N6" s="17">
        <f t="shared" si="0"/>
      </c>
      <c r="O6" s="18">
        <f>RANK(AA6,$AA$3:$AA$7)</f>
        <v>1</v>
      </c>
      <c r="P6" s="19" t="str">
        <f>D38</f>
        <v>SG Borsum/Harsum/Achtum</v>
      </c>
      <c r="Q6" s="18">
        <f>(R6+S6)/2</f>
        <v>8</v>
      </c>
      <c r="R6" s="20">
        <f>SUMIF($D$3:$D$31,$P6,$L$3:$L$31)+SUMIF($F$3:$F$31,$P6,$M$3:$M$31)</f>
        <v>12</v>
      </c>
      <c r="S6" s="21">
        <f>SUMIF($D$3:$D$31,$P6,$M$3:$M$31)+SUMIF($F$3:$F$31,$P6,$L$3:$L$31)</f>
        <v>4</v>
      </c>
      <c r="T6" s="18" t="str">
        <f>R6&amp;" : "&amp;S6</f>
        <v>12 : 4</v>
      </c>
      <c r="U6" s="20">
        <f>SUMIF($D$3:$D$31,$P6,$G$3:$G$31)+SUMIF($F$3:$F$31,$P6,$H$3:$H$31)</f>
        <v>21</v>
      </c>
      <c r="V6" s="21">
        <f>SUMIF($D$3:$D$31,$P6,$H$3:$H$31)+SUMIF($F$3:$F$31,$P6,$G$3:$G$31)</f>
        <v>11</v>
      </c>
      <c r="W6" s="18" t="str">
        <f>U6&amp;" : "&amp;V6</f>
        <v>21 : 11</v>
      </c>
      <c r="X6" s="20">
        <f>SUMIF($D$3:$D$31,$P6,$I$3:$I$31)+SUMIF($F$3:$F$31,$P6,$J$3:$J$31)</f>
        <v>749</v>
      </c>
      <c r="Y6" s="21">
        <f>SUMIF($D$3:$D$31,$P6,$J$3:$J$31)+SUMIF($F$3:$F$31,$P6,$I$3:$I$31)</f>
        <v>634</v>
      </c>
      <c r="Z6" s="18" t="str">
        <f>X6&amp;" : "&amp;Y6</f>
        <v>749 : 634</v>
      </c>
      <c r="AA6" s="22">
        <f>R6*1000000000+(R6-S6)*10000000+(U6-V6)*10000+(X6-Y6)-ROW(P6)/100</f>
        <v>12080100114.94</v>
      </c>
      <c r="AB6" s="11"/>
      <c r="AC6" s="125">
        <v>4</v>
      </c>
      <c r="AD6" s="126" t="str">
        <f>VLOOKUP($AC6,$O$3:$Z$7,2,FALSE)</f>
        <v>TSV Sibbesse</v>
      </c>
      <c r="AE6" s="125">
        <f>VLOOKUP($AC6,$O$3:$Z$7,3,FALSE)</f>
        <v>8</v>
      </c>
      <c r="AF6" s="125" t="str">
        <f>VLOOKUP($AC6,$O$3:$Z$7,6,FALSE)</f>
        <v>6 : 10</v>
      </c>
      <c r="AG6" s="125" t="str">
        <f>VLOOKUP($AC6,$O$3:$Z$7,9,FALSE)</f>
        <v>14 : 18</v>
      </c>
      <c r="AH6" s="125" t="str">
        <f>VLOOKUP($AC6,$O$3:$Z$7,12,FALSE)</f>
        <v>679 : 695</v>
      </c>
      <c r="AI6"/>
    </row>
    <row r="7" spans="1:35" ht="12.75" customHeight="1">
      <c r="A7" s="72">
        <v>4</v>
      </c>
      <c r="B7" s="73" t="s">
        <v>32</v>
      </c>
      <c r="C7" s="74" t="s">
        <v>66</v>
      </c>
      <c r="D7" s="103" t="str">
        <f>$D$36</f>
        <v>TSV Brunkensen II</v>
      </c>
      <c r="E7" s="127" t="s">
        <v>21</v>
      </c>
      <c r="F7" s="103" t="str">
        <f>$D$38</f>
        <v>SG Borsum/Harsum/Achtum</v>
      </c>
      <c r="G7" s="77">
        <v>2</v>
      </c>
      <c r="H7" s="78">
        <v>2</v>
      </c>
      <c r="I7" s="79">
        <v>80</v>
      </c>
      <c r="J7" s="80">
        <v>91</v>
      </c>
      <c r="K7" s="17"/>
      <c r="L7" s="15">
        <f>IF($G7+$H7&lt;&gt;4,"",IF($G7&gt;$H7,2,IF($G7=$H7,1,0)))</f>
        <v>1</v>
      </c>
      <c r="M7" s="16">
        <f>IF($G7+$H7&lt;&gt;4,"",2-$L7)</f>
        <v>1</v>
      </c>
      <c r="N7" s="17">
        <f t="shared" si="0"/>
      </c>
      <c r="O7" s="18">
        <f>RANK(AA7,$AA$3:$AA$7)</f>
        <v>4</v>
      </c>
      <c r="P7" s="19" t="str">
        <f>D39</f>
        <v>TSV Sibbesse</v>
      </c>
      <c r="Q7" s="18">
        <f>(R7+S7)/2</f>
        <v>8</v>
      </c>
      <c r="R7" s="20">
        <f>SUMIF($D$3:$D$31,$P7,$L$3:$L$31)+SUMIF($F$3:$F$31,$P7,$M$3:$M$31)</f>
        <v>6</v>
      </c>
      <c r="S7" s="21">
        <f>SUMIF($D$3:$D$31,$P7,$M$3:$M$31)+SUMIF($F$3:$F$31,$P7,$L$3:$L$31)</f>
        <v>10</v>
      </c>
      <c r="T7" s="18" t="str">
        <f>R7&amp;" : "&amp;S7</f>
        <v>6 : 10</v>
      </c>
      <c r="U7" s="20">
        <f>SUMIF($D$3:$D$31,$P7,$G$3:$G$31)+SUMIF($F$3:$F$31,$P7,$H$3:$H$31)</f>
        <v>14</v>
      </c>
      <c r="V7" s="21">
        <f>SUMIF($D$3:$D$31,$P7,$H$3:$H$31)+SUMIF($F$3:$F$31,$P7,$G$3:$G$31)</f>
        <v>18</v>
      </c>
      <c r="W7" s="18" t="str">
        <f>U7&amp;" : "&amp;V7</f>
        <v>14 : 18</v>
      </c>
      <c r="X7" s="20">
        <f>SUMIF($D$3:$D$31,$P7,$I$3:$I$31)+SUMIF($F$3:$F$31,$P7,$J$3:$J$31)</f>
        <v>679</v>
      </c>
      <c r="Y7" s="21">
        <f>SUMIF($D$3:$D$31,$P7,$J$3:$J$31)+SUMIF($F$3:$F$31,$P7,$I$3:$I$31)</f>
        <v>695</v>
      </c>
      <c r="Z7" s="18" t="str">
        <f>X7&amp;" : "&amp;Y7</f>
        <v>679 : 695</v>
      </c>
      <c r="AA7" s="22">
        <f>R7*1000000000+(R7-S7)*10000000+(U7-V7)*10000+(X7-Y7)-ROW(P7)/100</f>
        <v>5959959983.93</v>
      </c>
      <c r="AB7" s="11"/>
      <c r="AC7" s="125">
        <v>5</v>
      </c>
      <c r="AD7" s="126" t="str">
        <f>VLOOKUP($AC7,$O$3:$Z$7,2,FALSE)</f>
        <v>SV Hildesia Diekholzen I</v>
      </c>
      <c r="AE7" s="125">
        <f>VLOOKUP($AC7,$O$3:$Z$7,3,FALSE)</f>
        <v>8</v>
      </c>
      <c r="AF7" s="125" t="str">
        <f>VLOOKUP($AC7,$O$3:$Z$7,6,FALSE)</f>
        <v>5 : 11</v>
      </c>
      <c r="AG7" s="125" t="str">
        <f>VLOOKUP($AC7,$O$3:$Z$7,9,FALSE)</f>
        <v>13 : 19</v>
      </c>
      <c r="AH7" s="125" t="str">
        <f>VLOOKUP($AC7,$O$3:$Z$7,12,FALSE)</f>
        <v>666 : 746</v>
      </c>
      <c r="AI7"/>
    </row>
    <row r="8" spans="1:35" ht="12.75" customHeight="1">
      <c r="A8" s="85"/>
      <c r="B8" s="86"/>
      <c r="C8" s="86"/>
      <c r="D8" s="128"/>
      <c r="E8" s="128"/>
      <c r="F8" s="128"/>
      <c r="G8" s="81"/>
      <c r="H8" s="82"/>
      <c r="I8" s="83"/>
      <c r="J8" s="84"/>
      <c r="K8" s="27"/>
      <c r="L8" s="25"/>
      <c r="M8" s="26"/>
      <c r="N8" s="28"/>
      <c r="O8" s="29"/>
      <c r="P8" s="29"/>
      <c r="Q8" s="29"/>
      <c r="R8" s="29"/>
      <c r="S8" s="29"/>
      <c r="T8" s="29"/>
      <c r="U8" s="29"/>
      <c r="V8" s="29"/>
      <c r="W8" s="29"/>
      <c r="X8" s="11"/>
      <c r="Y8" s="11"/>
      <c r="Z8" s="11"/>
      <c r="AA8" s="11"/>
      <c r="AB8" s="11"/>
      <c r="AC8" s="30"/>
      <c r="AI8"/>
    </row>
    <row r="9" spans="1:34" ht="12.75" customHeight="1">
      <c r="A9" s="72">
        <v>5</v>
      </c>
      <c r="B9" s="73" t="s">
        <v>35</v>
      </c>
      <c r="C9" s="74" t="s">
        <v>82</v>
      </c>
      <c r="D9" s="103" t="str">
        <f>$D$35</f>
        <v>CVJM Sarstedt</v>
      </c>
      <c r="E9" s="127" t="s">
        <v>21</v>
      </c>
      <c r="F9" s="103" t="str">
        <f>$D$38</f>
        <v>SG Borsum/Harsum/Achtum</v>
      </c>
      <c r="G9" s="77">
        <v>0</v>
      </c>
      <c r="H9" s="78">
        <v>4</v>
      </c>
      <c r="I9" s="79">
        <v>69</v>
      </c>
      <c r="J9" s="80">
        <v>100</v>
      </c>
      <c r="K9" s="14"/>
      <c r="L9" s="15">
        <f>IF($G9+$H9&lt;&gt;4,"",IF($G9&gt;$H9,2,IF($G9=$H9,1,0)))</f>
        <v>0</v>
      </c>
      <c r="M9" s="16">
        <f>IF($G9+$H9&lt;&gt;4,"",2-$L9)</f>
        <v>2</v>
      </c>
      <c r="N9" s="17">
        <f t="shared" si="0"/>
      </c>
      <c r="O9" s="29"/>
      <c r="P9" s="29"/>
      <c r="Q9" s="29"/>
      <c r="R9" s="29"/>
      <c r="S9" s="29"/>
      <c r="T9" s="29"/>
      <c r="U9" s="29"/>
      <c r="V9" s="29"/>
      <c r="W9" s="29"/>
      <c r="X9" s="11"/>
      <c r="Y9" s="11"/>
      <c r="Z9" s="11"/>
      <c r="AA9" s="11"/>
      <c r="AB9" s="11"/>
      <c r="AC9" s="32" t="s">
        <v>22</v>
      </c>
      <c r="AD9" s="30"/>
      <c r="AE9" s="30"/>
      <c r="AF9" s="46">
        <f>SUM(R$3:S7)/2</f>
        <v>40</v>
      </c>
      <c r="AG9" s="46">
        <f>SUM(U$3:V7)/2</f>
        <v>80</v>
      </c>
      <c r="AH9" s="46">
        <f>SUM(X$3:Y7)/2</f>
        <v>3487</v>
      </c>
    </row>
    <row r="10" spans="1:29" ht="12.75" customHeight="1">
      <c r="A10" s="72">
        <v>6</v>
      </c>
      <c r="B10" s="73" t="s">
        <v>29</v>
      </c>
      <c r="C10" s="74" t="s">
        <v>67</v>
      </c>
      <c r="D10" s="103" t="str">
        <f>$D$37</f>
        <v>SV Hildesia Diekholzen I</v>
      </c>
      <c r="E10" s="127" t="s">
        <v>21</v>
      </c>
      <c r="F10" s="103" t="str">
        <f>$D$39</f>
        <v>TSV Sibbesse</v>
      </c>
      <c r="G10" s="77">
        <v>0</v>
      </c>
      <c r="H10" s="78">
        <v>4</v>
      </c>
      <c r="I10" s="79">
        <v>68</v>
      </c>
      <c r="J10" s="80">
        <v>100</v>
      </c>
      <c r="K10" s="17"/>
      <c r="L10" s="15">
        <f>IF($G10+$H10&lt;&gt;4,"",IF($G10&gt;$H10,2,IF($G10=$H10,1,0)))</f>
        <v>0</v>
      </c>
      <c r="M10" s="16">
        <f>IF($G10+$H10&lt;&gt;4,"",2-$L10)</f>
        <v>2</v>
      </c>
      <c r="N10" s="17">
        <f t="shared" si="0"/>
      </c>
      <c r="O10" s="29"/>
      <c r="P10" s="29"/>
      <c r="Q10" s="29"/>
      <c r="R10" s="29"/>
      <c r="S10" s="29"/>
      <c r="T10" s="29"/>
      <c r="U10" s="29"/>
      <c r="V10" s="29"/>
      <c r="W10" s="29"/>
      <c r="X10" s="11"/>
      <c r="Y10" s="11"/>
      <c r="Z10" s="11"/>
      <c r="AA10" s="11"/>
      <c r="AB10" s="11"/>
      <c r="AC10" s="30"/>
    </row>
    <row r="11" spans="1:28" ht="12.75" customHeight="1">
      <c r="A11" s="85"/>
      <c r="B11" s="86"/>
      <c r="C11" s="86"/>
      <c r="D11" s="128"/>
      <c r="E11" s="128"/>
      <c r="F11" s="128"/>
      <c r="G11" s="81"/>
      <c r="H11" s="82"/>
      <c r="I11" s="83"/>
      <c r="J11" s="84"/>
      <c r="K11" s="27"/>
      <c r="L11" s="25"/>
      <c r="M11" s="26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11"/>
      <c r="Y11" s="11"/>
      <c r="Z11" s="11"/>
      <c r="AA11" s="11"/>
      <c r="AB11" s="11"/>
    </row>
    <row r="12" spans="1:28" ht="12.75" customHeight="1">
      <c r="A12" s="72">
        <v>7</v>
      </c>
      <c r="B12" s="73" t="s">
        <v>35</v>
      </c>
      <c r="C12" s="74" t="s">
        <v>69</v>
      </c>
      <c r="D12" s="103" t="str">
        <f>$D$36</f>
        <v>TSV Brunkensen II</v>
      </c>
      <c r="E12" s="127" t="s">
        <v>21</v>
      </c>
      <c r="F12" s="103" t="str">
        <f>$D$37</f>
        <v>SV Hildesia Diekholzen I</v>
      </c>
      <c r="G12" s="77">
        <v>2</v>
      </c>
      <c r="H12" s="78">
        <v>2</v>
      </c>
      <c r="I12" s="79">
        <v>86</v>
      </c>
      <c r="J12" s="80">
        <v>85</v>
      </c>
      <c r="K12" s="14"/>
      <c r="L12" s="15">
        <f>IF($G12+$H12&lt;&gt;4,"",IF($G12&gt;$H12,2,IF($G12=$H12,1,0)))</f>
        <v>1</v>
      </c>
      <c r="M12" s="16">
        <f>IF($G12+$H12&lt;&gt;4,"",2-$L12)</f>
        <v>1</v>
      </c>
      <c r="N12" s="17">
        <f t="shared" si="0"/>
      </c>
      <c r="O12" s="29"/>
      <c r="P12" s="29"/>
      <c r="Q12" s="29"/>
      <c r="R12" s="29"/>
      <c r="S12" s="29"/>
      <c r="T12" s="29"/>
      <c r="U12" s="29"/>
      <c r="V12" s="29"/>
      <c r="W12" s="29"/>
      <c r="X12" s="11"/>
      <c r="Y12" s="11"/>
      <c r="Z12" s="11"/>
      <c r="AA12" s="11"/>
      <c r="AB12" s="11"/>
    </row>
    <row r="13" spans="1:28" ht="12.75" customHeight="1">
      <c r="A13" s="72">
        <v>8</v>
      </c>
      <c r="B13" s="73" t="s">
        <v>35</v>
      </c>
      <c r="C13" s="74" t="s">
        <v>69</v>
      </c>
      <c r="D13" s="103" t="str">
        <f>$D$38</f>
        <v>SG Borsum/Harsum/Achtum</v>
      </c>
      <c r="E13" s="127" t="s">
        <v>21</v>
      </c>
      <c r="F13" s="103" t="str">
        <f>$D$39</f>
        <v>TSV Sibbesse</v>
      </c>
      <c r="G13" s="77">
        <v>3</v>
      </c>
      <c r="H13" s="78">
        <v>1</v>
      </c>
      <c r="I13" s="79">
        <v>92</v>
      </c>
      <c r="J13" s="80">
        <v>69</v>
      </c>
      <c r="K13" s="17"/>
      <c r="L13" s="15">
        <f>IF($G13+$H13&lt;&gt;4,"",IF($G13&gt;$H13,2,IF($G13=$H13,1,0)))</f>
        <v>2</v>
      </c>
      <c r="M13" s="16">
        <f>IF($G13+$H13&lt;&gt;4,"",2-$L13)</f>
        <v>0</v>
      </c>
      <c r="N13" s="17">
        <f t="shared" si="0"/>
      </c>
      <c r="O13" s="29"/>
      <c r="P13" s="29"/>
      <c r="Q13" s="29"/>
      <c r="R13" s="29"/>
      <c r="S13" s="29"/>
      <c r="T13" s="29"/>
      <c r="U13" s="29"/>
      <c r="V13" s="29"/>
      <c r="W13" s="29"/>
      <c r="X13" s="11"/>
      <c r="Y13" s="11"/>
      <c r="Z13" s="11"/>
      <c r="AA13" s="11"/>
      <c r="AB13" s="11"/>
    </row>
    <row r="14" spans="1:28" ht="12.75" customHeight="1">
      <c r="A14" s="85"/>
      <c r="B14" s="86"/>
      <c r="C14" s="86"/>
      <c r="D14" s="128"/>
      <c r="E14" s="128"/>
      <c r="F14" s="128"/>
      <c r="G14" s="81"/>
      <c r="H14" s="82"/>
      <c r="I14" s="83"/>
      <c r="J14" s="84"/>
      <c r="K14" s="27"/>
      <c r="L14" s="25"/>
      <c r="M14" s="26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11"/>
      <c r="Y14" s="11"/>
      <c r="Z14" s="11"/>
      <c r="AA14" s="11"/>
      <c r="AB14" s="11"/>
    </row>
    <row r="15" spans="1:28" ht="12.75" customHeight="1">
      <c r="A15" s="72">
        <v>9</v>
      </c>
      <c r="B15" s="73" t="s">
        <v>32</v>
      </c>
      <c r="C15" s="74" t="s">
        <v>71</v>
      </c>
      <c r="D15" s="103" t="str">
        <f>$D$39</f>
        <v>TSV Sibbesse</v>
      </c>
      <c r="E15" s="127" t="s">
        <v>21</v>
      </c>
      <c r="F15" s="103" t="str">
        <f>$D$36</f>
        <v>TSV Brunkensen II</v>
      </c>
      <c r="G15" s="77">
        <v>0</v>
      </c>
      <c r="H15" s="78">
        <v>4</v>
      </c>
      <c r="I15" s="79">
        <v>83</v>
      </c>
      <c r="J15" s="80">
        <v>100</v>
      </c>
      <c r="K15" s="14"/>
      <c r="L15" s="15">
        <f>IF($G15+$H15&lt;&gt;4,"",IF($G15&gt;$H15,2,IF($G15=$H15,1,0)))</f>
        <v>0</v>
      </c>
      <c r="M15" s="16">
        <f>IF($G15+$H15&lt;&gt;4,"",2-$L15)</f>
        <v>2</v>
      </c>
      <c r="N15" s="17">
        <f t="shared" si="0"/>
      </c>
      <c r="O15" s="29"/>
      <c r="P15" s="29"/>
      <c r="Q15" s="29"/>
      <c r="R15" s="29"/>
      <c r="S15" s="29"/>
      <c r="T15" s="29"/>
      <c r="U15" s="29"/>
      <c r="V15" s="29"/>
      <c r="W15" s="29"/>
      <c r="X15" s="11"/>
      <c r="Y15" s="11"/>
      <c r="Z15" s="11"/>
      <c r="AA15" s="11"/>
      <c r="AB15" s="11"/>
    </row>
    <row r="16" spans="1:28" ht="12.75" customHeight="1">
      <c r="A16" s="72">
        <v>10</v>
      </c>
      <c r="B16" s="73" t="s">
        <v>29</v>
      </c>
      <c r="C16" s="74" t="s">
        <v>169</v>
      </c>
      <c r="D16" s="103" t="str">
        <f>$D$37</f>
        <v>SV Hildesia Diekholzen I</v>
      </c>
      <c r="E16" s="127" t="s">
        <v>21</v>
      </c>
      <c r="F16" s="103" t="str">
        <f>$D$35</f>
        <v>CVJM Sarstedt</v>
      </c>
      <c r="G16" s="77">
        <v>4</v>
      </c>
      <c r="H16" s="78">
        <v>0</v>
      </c>
      <c r="I16" s="79">
        <v>100</v>
      </c>
      <c r="J16" s="80">
        <v>80</v>
      </c>
      <c r="K16" s="17"/>
      <c r="L16" s="15">
        <f>IF($G16+$H16&lt;&gt;4,"",IF($G16&gt;$H16,2,IF($G16=$H16,1,0)))</f>
        <v>2</v>
      </c>
      <c r="M16" s="16">
        <f>IF($G16+$H16&lt;&gt;4,"",2-$L16)</f>
        <v>0</v>
      </c>
      <c r="N16" s="17">
        <f t="shared" si="0"/>
      </c>
      <c r="O16" s="29"/>
      <c r="P16" s="29"/>
      <c r="Q16" s="29"/>
      <c r="R16" s="29"/>
      <c r="S16" s="29"/>
      <c r="T16" s="29"/>
      <c r="U16" s="29"/>
      <c r="V16" s="29"/>
      <c r="W16" s="29"/>
      <c r="X16" s="11"/>
      <c r="Y16" s="11"/>
      <c r="Z16" s="11"/>
      <c r="AA16" s="11"/>
      <c r="AB16" s="11"/>
    </row>
    <row r="17" spans="1:28" ht="12.75" customHeight="1">
      <c r="A17" s="85"/>
      <c r="B17" s="86"/>
      <c r="C17" s="86"/>
      <c r="D17" s="128"/>
      <c r="E17" s="128"/>
      <c r="F17" s="128"/>
      <c r="G17" s="81"/>
      <c r="H17" s="82"/>
      <c r="I17" s="83"/>
      <c r="J17" s="84"/>
      <c r="K17" s="27"/>
      <c r="L17" s="25"/>
      <c r="M17" s="26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11"/>
      <c r="Y17" s="11"/>
      <c r="Z17" s="11"/>
      <c r="AA17" s="11"/>
      <c r="AB17" s="11"/>
    </row>
    <row r="18" spans="1:28" ht="12.75" customHeight="1">
      <c r="A18" s="72">
        <v>11</v>
      </c>
      <c r="B18" s="73" t="s">
        <v>35</v>
      </c>
      <c r="C18" s="74" t="s">
        <v>167</v>
      </c>
      <c r="D18" s="103" t="str">
        <f>$D$36</f>
        <v>TSV Brunkensen II</v>
      </c>
      <c r="E18" s="127" t="s">
        <v>21</v>
      </c>
      <c r="F18" s="103" t="str">
        <f>$D$35</f>
        <v>CVJM Sarstedt</v>
      </c>
      <c r="G18" s="77">
        <v>2</v>
      </c>
      <c r="H18" s="78">
        <v>2</v>
      </c>
      <c r="I18" s="79">
        <v>98</v>
      </c>
      <c r="J18" s="80">
        <v>94</v>
      </c>
      <c r="K18" s="14"/>
      <c r="L18" s="15">
        <f>IF($G18+$H18&lt;&gt;4,"",IF($G18&gt;$H18,2,IF($G18=$H18,1,0)))</f>
        <v>1</v>
      </c>
      <c r="M18" s="16">
        <f>IF($G18+$H18&lt;&gt;4,"",2-$L18)</f>
        <v>1</v>
      </c>
      <c r="N18" s="17">
        <f t="shared" si="0"/>
      </c>
      <c r="O18" s="29"/>
      <c r="P18" s="29"/>
      <c r="Q18" s="29"/>
      <c r="R18" s="29"/>
      <c r="S18" s="29"/>
      <c r="T18" s="29"/>
      <c r="U18" s="29"/>
      <c r="V18" s="29"/>
      <c r="W18" s="29"/>
      <c r="X18" s="11"/>
      <c r="Y18" s="11"/>
      <c r="Z18" s="11"/>
      <c r="AA18" s="11"/>
      <c r="AB18" s="11"/>
    </row>
    <row r="19" spans="1:28" ht="12.75" customHeight="1">
      <c r="A19" s="72">
        <v>12</v>
      </c>
      <c r="B19" s="73" t="s">
        <v>29</v>
      </c>
      <c r="C19" s="74" t="s">
        <v>105</v>
      </c>
      <c r="D19" s="103" t="str">
        <f>$D$37</f>
        <v>SV Hildesia Diekholzen I</v>
      </c>
      <c r="E19" s="127" t="s">
        <v>21</v>
      </c>
      <c r="F19" s="103" t="str">
        <f>$D$38</f>
        <v>SG Borsum/Harsum/Achtum</v>
      </c>
      <c r="G19" s="77">
        <v>1</v>
      </c>
      <c r="H19" s="78">
        <v>3</v>
      </c>
      <c r="I19" s="79">
        <v>80</v>
      </c>
      <c r="J19" s="80">
        <v>99</v>
      </c>
      <c r="K19" s="17"/>
      <c r="L19" s="15">
        <f>IF($G19+$H19&lt;&gt;4,"",IF($G19&gt;$H19,2,IF($G19=$H19,1,0)))</f>
        <v>0</v>
      </c>
      <c r="M19" s="16">
        <f>IF($G19+$H19&lt;&gt;4,"",2-$L19)</f>
        <v>2</v>
      </c>
      <c r="N19" s="17">
        <f t="shared" si="0"/>
      </c>
      <c r="O19" s="29"/>
      <c r="P19" s="29"/>
      <c r="Q19" s="29"/>
      <c r="R19" s="29"/>
      <c r="S19" s="29"/>
      <c r="T19" s="29"/>
      <c r="U19" s="29"/>
      <c r="V19" s="29"/>
      <c r="W19" s="29"/>
      <c r="X19" s="11"/>
      <c r="Y19" s="11"/>
      <c r="Z19" s="11"/>
      <c r="AA19" s="11"/>
      <c r="AB19" s="11"/>
    </row>
    <row r="20" spans="1:28" ht="12.75" customHeight="1">
      <c r="A20" s="85"/>
      <c r="B20" s="86"/>
      <c r="C20" s="86"/>
      <c r="D20" s="128"/>
      <c r="E20" s="128"/>
      <c r="F20" s="128"/>
      <c r="G20" s="81"/>
      <c r="H20" s="82"/>
      <c r="I20" s="83"/>
      <c r="J20" s="84"/>
      <c r="K20" s="27"/>
      <c r="L20" s="25"/>
      <c r="M20" s="26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11"/>
      <c r="Y20" s="11"/>
      <c r="Z20" s="11"/>
      <c r="AA20" s="11"/>
      <c r="AB20" s="11"/>
    </row>
    <row r="21" spans="1:14" ht="12.75" customHeight="1">
      <c r="A21" s="72">
        <v>13</v>
      </c>
      <c r="B21" s="73" t="s">
        <v>35</v>
      </c>
      <c r="C21" s="74" t="s">
        <v>74</v>
      </c>
      <c r="D21" s="103" t="str">
        <f>$D$35</f>
        <v>CVJM Sarstedt</v>
      </c>
      <c r="E21" s="127" t="s">
        <v>21</v>
      </c>
      <c r="F21" s="103" t="str">
        <f>$D$39</f>
        <v>TSV Sibbesse</v>
      </c>
      <c r="G21" s="77">
        <v>3</v>
      </c>
      <c r="H21" s="78">
        <v>1</v>
      </c>
      <c r="I21" s="79">
        <v>93</v>
      </c>
      <c r="J21" s="80">
        <v>79</v>
      </c>
      <c r="K21" s="14"/>
      <c r="L21" s="15">
        <f>IF($G21+$H21&lt;&gt;4,"",IF($G21&gt;$H21,2,IF($G21=$H21,1,0)))</f>
        <v>2</v>
      </c>
      <c r="M21" s="16">
        <f>IF($G21+$H21&lt;&gt;4,"",2-$L21)</f>
        <v>0</v>
      </c>
      <c r="N21" s="17">
        <f t="shared" si="0"/>
      </c>
    </row>
    <row r="22" spans="1:34" ht="12.75" customHeight="1">
      <c r="A22" s="72">
        <v>14</v>
      </c>
      <c r="B22" s="73" t="s">
        <v>35</v>
      </c>
      <c r="C22" s="74" t="s">
        <v>74</v>
      </c>
      <c r="D22" s="103" t="str">
        <f>$D$38</f>
        <v>SG Borsum/Harsum/Achtum</v>
      </c>
      <c r="E22" s="127" t="s">
        <v>21</v>
      </c>
      <c r="F22" s="103" t="str">
        <f>$D$36</f>
        <v>TSV Brunkensen II</v>
      </c>
      <c r="G22" s="77">
        <v>2</v>
      </c>
      <c r="H22" s="78">
        <v>2</v>
      </c>
      <c r="I22" s="79">
        <v>83</v>
      </c>
      <c r="J22" s="80">
        <v>85</v>
      </c>
      <c r="K22" s="17"/>
      <c r="L22" s="15">
        <f>IF($G22+$H22&lt;&gt;4,"",IF($G22&gt;$H22,2,IF($G22=$H22,1,0)))</f>
        <v>1</v>
      </c>
      <c r="M22" s="16">
        <f>IF($G22+$H22&lt;&gt;4,"",2-$L22)</f>
        <v>1</v>
      </c>
      <c r="N22" s="17">
        <f t="shared" si="0"/>
      </c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6"/>
      <c r="Z22" s="36"/>
      <c r="AA22" s="36"/>
      <c r="AB22" s="36"/>
      <c r="AC22" s="37"/>
      <c r="AD22" s="37"/>
      <c r="AE22" s="37"/>
      <c r="AF22" s="37"/>
      <c r="AG22" s="37"/>
      <c r="AH22" s="37"/>
    </row>
    <row r="23" spans="1:14" ht="12.75" customHeight="1">
      <c r="A23" s="85"/>
      <c r="B23" s="86"/>
      <c r="C23" s="86"/>
      <c r="D23" s="128"/>
      <c r="E23" s="128"/>
      <c r="F23" s="128"/>
      <c r="G23" s="81"/>
      <c r="H23" s="82"/>
      <c r="I23" s="83"/>
      <c r="J23" s="84"/>
      <c r="K23" s="27"/>
      <c r="L23" s="25"/>
      <c r="M23" s="26"/>
      <c r="N23" s="28"/>
    </row>
    <row r="24" spans="1:14" ht="12.75" customHeight="1">
      <c r="A24" s="72">
        <v>15</v>
      </c>
      <c r="B24" s="73" t="s">
        <v>35</v>
      </c>
      <c r="C24" s="74" t="s">
        <v>173</v>
      </c>
      <c r="D24" s="103" t="str">
        <f>$D$38</f>
        <v>SG Borsum/Harsum/Achtum</v>
      </c>
      <c r="E24" s="127" t="s">
        <v>21</v>
      </c>
      <c r="F24" s="103" t="str">
        <f>$D$35</f>
        <v>CVJM Sarstedt</v>
      </c>
      <c r="G24" s="77">
        <v>3</v>
      </c>
      <c r="H24" s="78">
        <v>1</v>
      </c>
      <c r="I24" s="79">
        <v>98</v>
      </c>
      <c r="J24" s="80">
        <v>78</v>
      </c>
      <c r="K24" s="14"/>
      <c r="L24" s="15">
        <f>IF($G24+$H24&lt;&gt;4,"",IF($G24&gt;$H24,2,IF($G24=$H24,1,0)))</f>
        <v>2</v>
      </c>
      <c r="M24" s="16">
        <f>IF($G24+$H24&lt;&gt;4,"",2-$L24)</f>
        <v>0</v>
      </c>
      <c r="N24" s="17">
        <f t="shared" si="0"/>
      </c>
    </row>
    <row r="25" spans="1:14" ht="12.75" customHeight="1">
      <c r="A25" s="72">
        <v>16</v>
      </c>
      <c r="B25" s="73" t="s">
        <v>32</v>
      </c>
      <c r="C25" s="74" t="s">
        <v>182</v>
      </c>
      <c r="D25" s="103" t="str">
        <f>$D$39</f>
        <v>TSV Sibbesse</v>
      </c>
      <c r="E25" s="127" t="s">
        <v>21</v>
      </c>
      <c r="F25" s="103" t="str">
        <f>$D$37</f>
        <v>SV Hildesia Diekholzen I</v>
      </c>
      <c r="G25" s="77">
        <v>3</v>
      </c>
      <c r="H25" s="78">
        <v>1</v>
      </c>
      <c r="I25" s="79">
        <v>98</v>
      </c>
      <c r="J25" s="80">
        <v>74</v>
      </c>
      <c r="K25" s="17"/>
      <c r="L25" s="15">
        <f>IF($G25+$H25&lt;&gt;4,"",IF($G25&gt;$H25,2,IF($G25=$H25,1,0)))</f>
        <v>2</v>
      </c>
      <c r="M25" s="16">
        <f>IF($G25+$H25&lt;&gt;4,"",2-$L25)</f>
        <v>0</v>
      </c>
      <c r="N25" s="17">
        <f t="shared" si="0"/>
      </c>
    </row>
    <row r="26" spans="1:14" ht="12.75" customHeight="1">
      <c r="A26" s="87"/>
      <c r="B26" s="86"/>
      <c r="C26" s="86"/>
      <c r="D26" s="128"/>
      <c r="E26" s="128"/>
      <c r="F26" s="128"/>
      <c r="G26" s="81"/>
      <c r="H26" s="82"/>
      <c r="I26" s="83"/>
      <c r="J26" s="84"/>
      <c r="K26" s="27"/>
      <c r="L26" s="25"/>
      <c r="M26" s="26"/>
      <c r="N26" s="28"/>
    </row>
    <row r="27" spans="1:14" ht="12.75" customHeight="1">
      <c r="A27" s="72">
        <v>17</v>
      </c>
      <c r="B27" s="73" t="s">
        <v>29</v>
      </c>
      <c r="C27" s="74" t="s">
        <v>88</v>
      </c>
      <c r="D27" s="103" t="str">
        <f>$D$37</f>
        <v>SV Hildesia Diekholzen I</v>
      </c>
      <c r="E27" s="127" t="s">
        <v>21</v>
      </c>
      <c r="F27" s="103" t="str">
        <f>$D$36</f>
        <v>TSV Brunkensen II</v>
      </c>
      <c r="G27" s="77">
        <v>2</v>
      </c>
      <c r="H27" s="78">
        <v>2</v>
      </c>
      <c r="I27" s="79">
        <v>85</v>
      </c>
      <c r="J27" s="80">
        <v>94</v>
      </c>
      <c r="K27" s="14"/>
      <c r="L27" s="15">
        <f>IF($G27+$H27&lt;&gt;4,"",IF($G27&gt;$H27,2,IF($G27=$H27,1,0)))</f>
        <v>1</v>
      </c>
      <c r="M27" s="16">
        <f>IF($G27+$H27&lt;&gt;4,"",2-$L27)</f>
        <v>1</v>
      </c>
      <c r="N27" s="17">
        <f t="shared" si="0"/>
      </c>
    </row>
    <row r="28" spans="1:30" ht="12.75" customHeight="1">
      <c r="A28" s="72">
        <v>18</v>
      </c>
      <c r="B28" s="73" t="s">
        <v>32</v>
      </c>
      <c r="C28" s="74" t="s">
        <v>77</v>
      </c>
      <c r="D28" s="103" t="str">
        <f>$D$39</f>
        <v>TSV Sibbesse</v>
      </c>
      <c r="E28" s="127" t="s">
        <v>21</v>
      </c>
      <c r="F28" s="103" t="str">
        <f>$D$38</f>
        <v>SG Borsum/Harsum/Achtum</v>
      </c>
      <c r="G28" s="77">
        <v>2</v>
      </c>
      <c r="H28" s="78">
        <v>2</v>
      </c>
      <c r="I28" s="79">
        <v>81</v>
      </c>
      <c r="J28" s="80">
        <v>93</v>
      </c>
      <c r="K28" s="17"/>
      <c r="L28" s="15">
        <f>IF($G28+$H28&lt;&gt;4,"",IF($G28&gt;$H28,2,IF($G28=$H28,1,0)))</f>
        <v>1</v>
      </c>
      <c r="M28" s="16">
        <f>IF($G28+$H28&lt;&gt;4,"",2-$L28)</f>
        <v>1</v>
      </c>
      <c r="N28" s="17">
        <f t="shared" si="0"/>
      </c>
      <c r="AD28" s="31" t="s">
        <v>62</v>
      </c>
    </row>
    <row r="29" spans="1:14" ht="12.75" customHeight="1">
      <c r="A29" s="85"/>
      <c r="B29" s="86"/>
      <c r="C29" s="86"/>
      <c r="D29" s="128"/>
      <c r="E29" s="128"/>
      <c r="F29" s="128"/>
      <c r="G29" s="81"/>
      <c r="H29" s="82"/>
      <c r="I29" s="83"/>
      <c r="J29" s="84"/>
      <c r="K29" s="27"/>
      <c r="L29" s="25"/>
      <c r="M29" s="26"/>
      <c r="N29" s="28"/>
    </row>
    <row r="30" spans="1:14" ht="12.75" customHeight="1">
      <c r="A30" s="72">
        <v>19</v>
      </c>
      <c r="B30" s="73" t="s">
        <v>35</v>
      </c>
      <c r="C30" s="74" t="s">
        <v>106</v>
      </c>
      <c r="D30" s="103" t="str">
        <f>$D$36</f>
        <v>TSV Brunkensen II</v>
      </c>
      <c r="E30" s="127" t="s">
        <v>21</v>
      </c>
      <c r="F30" s="103" t="str">
        <f>$D$39</f>
        <v>TSV Sibbesse</v>
      </c>
      <c r="G30" s="77">
        <v>2</v>
      </c>
      <c r="H30" s="78">
        <v>2</v>
      </c>
      <c r="I30" s="79">
        <v>92</v>
      </c>
      <c r="J30" s="80">
        <v>92</v>
      </c>
      <c r="K30" s="14"/>
      <c r="L30" s="15">
        <f>IF($G30+$H30&lt;&gt;4,"",IF($G30&gt;$H30,2,IF($G30=$H30,1,0)))</f>
        <v>1</v>
      </c>
      <c r="M30" s="16">
        <f>IF($G30+$H30&lt;&gt;4,"",2-$L30)</f>
        <v>1</v>
      </c>
      <c r="N30" s="17">
        <f t="shared" si="0"/>
      </c>
    </row>
    <row r="31" spans="1:14" ht="12.75" customHeight="1">
      <c r="A31" s="72">
        <v>20</v>
      </c>
      <c r="B31" s="73" t="s">
        <v>35</v>
      </c>
      <c r="C31" s="74" t="s">
        <v>106</v>
      </c>
      <c r="D31" s="103" t="str">
        <f>$D$35</f>
        <v>CVJM Sarstedt</v>
      </c>
      <c r="E31" s="127" t="s">
        <v>21</v>
      </c>
      <c r="F31" s="103" t="str">
        <f>$D$37</f>
        <v>SV Hildesia Diekholzen I</v>
      </c>
      <c r="G31" s="77">
        <v>3</v>
      </c>
      <c r="H31" s="78">
        <v>1</v>
      </c>
      <c r="I31" s="79">
        <v>96</v>
      </c>
      <c r="J31" s="80">
        <v>82</v>
      </c>
      <c r="K31" s="17"/>
      <c r="L31" s="15">
        <f>IF($G31+$H31&lt;&gt;4,"",IF($G31&gt;$H31,2,IF($G31=$H31,1,0)))</f>
        <v>2</v>
      </c>
      <c r="M31" s="16">
        <f>IF($G31+$H31&lt;&gt;4,"",2-$L31)</f>
        <v>0</v>
      </c>
      <c r="N31" s="17">
        <f t="shared" si="0"/>
      </c>
    </row>
    <row r="32" spans="1:13" ht="12.75" customHeight="1">
      <c r="A32" s="38"/>
      <c r="B32" s="38"/>
      <c r="C32" s="39"/>
      <c r="D32" s="40"/>
      <c r="E32" s="41"/>
      <c r="F32" s="42"/>
      <c r="L32" s="29"/>
      <c r="M32" s="29"/>
    </row>
    <row r="33" spans="1:35" s="48" customFormat="1" ht="12.75" customHeight="1">
      <c r="A33" s="68" t="s">
        <v>22</v>
      </c>
      <c r="B33" s="43"/>
      <c r="C33" s="43"/>
      <c r="D33" s="44"/>
      <c r="E33" s="45"/>
      <c r="F33" s="44"/>
      <c r="G33" s="185">
        <f>SUM(G3:H32)</f>
        <v>80</v>
      </c>
      <c r="H33" s="185"/>
      <c r="I33" s="185">
        <f>SUM(I3:J32)</f>
        <v>3487</v>
      </c>
      <c r="J33" s="185"/>
      <c r="K33" s="47"/>
      <c r="L33" s="185">
        <f>SUM(L3:M32)</f>
        <v>40</v>
      </c>
      <c r="M33" s="185"/>
      <c r="N33" s="36"/>
      <c r="O33" s="34"/>
      <c r="P33" s="34"/>
      <c r="Q33" s="34"/>
      <c r="R33" s="34"/>
      <c r="S33" s="34"/>
      <c r="T33" s="34"/>
      <c r="U33" s="34"/>
      <c r="V33" s="34"/>
      <c r="W33" s="34"/>
      <c r="X33" s="14"/>
      <c r="Y33" s="14"/>
      <c r="Z33" s="14"/>
      <c r="AA33" s="14"/>
      <c r="AB33" s="14"/>
      <c r="AC33" s="31"/>
      <c r="AD33" s="31"/>
      <c r="AE33" s="31"/>
      <c r="AF33" s="31"/>
      <c r="AG33" s="31"/>
      <c r="AH33" s="31"/>
      <c r="AI33" s="37"/>
    </row>
    <row r="34" spans="4:6" ht="12.75">
      <c r="D34" s="42"/>
      <c r="E34" s="41"/>
      <c r="F34" s="42"/>
    </row>
    <row r="35" spans="1:34" ht="12.75">
      <c r="A35" s="50" t="s">
        <v>23</v>
      </c>
      <c r="B35" s="51"/>
      <c r="C35" s="52"/>
      <c r="D35" s="53" t="s">
        <v>44</v>
      </c>
      <c r="E35" s="41"/>
      <c r="F35" s="42"/>
      <c r="AD35" s="54" t="s">
        <v>24</v>
      </c>
      <c r="AE35" s="55"/>
      <c r="AF35" s="55"/>
      <c r="AG35" s="55"/>
      <c r="AH35" s="56"/>
    </row>
    <row r="36" spans="1:34" ht="12.75">
      <c r="A36" s="57"/>
      <c r="B36" s="57"/>
      <c r="C36" s="58"/>
      <c r="D36" s="53" t="s">
        <v>53</v>
      </c>
      <c r="E36" s="41"/>
      <c r="F36" s="42"/>
      <c r="AD36" s="59" t="s">
        <v>25</v>
      </c>
      <c r="AE36" s="60"/>
      <c r="AF36" s="60"/>
      <c r="AG36" s="60"/>
      <c r="AH36" s="61"/>
    </row>
    <row r="37" spans="1:34" ht="12.75">
      <c r="A37" s="62"/>
      <c r="B37" s="62"/>
      <c r="C37" s="63"/>
      <c r="D37" s="53" t="s">
        <v>49</v>
      </c>
      <c r="E37" s="41"/>
      <c r="F37" s="42"/>
      <c r="AD37" s="59" t="s">
        <v>26</v>
      </c>
      <c r="AE37" s="60"/>
      <c r="AF37" s="60"/>
      <c r="AG37" s="60"/>
      <c r="AH37" s="61"/>
    </row>
    <row r="38" spans="1:34" ht="12.75">
      <c r="A38" s="62"/>
      <c r="B38" s="62"/>
      <c r="C38" s="63"/>
      <c r="D38" s="53" t="s">
        <v>107</v>
      </c>
      <c r="E38" s="41"/>
      <c r="F38" s="42"/>
      <c r="AD38" s="59" t="s">
        <v>27</v>
      </c>
      <c r="AE38" s="60"/>
      <c r="AF38" s="60"/>
      <c r="AG38" s="60"/>
      <c r="AH38" s="61"/>
    </row>
    <row r="39" spans="4:34" ht="12.75">
      <c r="D39" s="53" t="s">
        <v>47</v>
      </c>
      <c r="E39" s="41"/>
      <c r="F39" s="42"/>
      <c r="AD39" s="64" t="s">
        <v>28</v>
      </c>
      <c r="AE39" s="65"/>
      <c r="AF39" s="65"/>
      <c r="AG39" s="65"/>
      <c r="AH39" s="66"/>
    </row>
  </sheetData>
  <sheetProtection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PageLayoutView="0" workbookViewId="0" topLeftCell="A1">
      <pane ySplit="2" topLeftCell="A3" activePane="bottomLeft" state="frozen"/>
      <selection pane="topLeft" activeCell="B30" sqref="B30:C31"/>
      <selection pane="bottomLeft" activeCell="J30" sqref="J30"/>
    </sheetView>
  </sheetViews>
  <sheetFormatPr defaultColWidth="11.421875" defaultRowHeight="12.75"/>
  <cols>
    <col min="1" max="1" width="5.57421875" style="49" customWidth="1"/>
    <col min="2" max="2" width="3.7109375" style="49" customWidth="1"/>
    <col min="3" max="3" width="10.57421875" style="49" customWidth="1"/>
    <col min="4" max="4" width="20.140625" style="49" customWidth="1"/>
    <col min="5" max="5" width="2.57421875" style="67" customWidth="1"/>
    <col min="6" max="6" width="20.140625" style="49" customWidth="1"/>
    <col min="7" max="7" width="4.7109375" style="29" customWidth="1"/>
    <col min="8" max="8" width="4.421875" style="29" customWidth="1"/>
    <col min="9" max="9" width="5.57421875" style="34" customWidth="1"/>
    <col min="10" max="10" width="5.8515625" style="34" customWidth="1"/>
    <col min="11" max="11" width="0.71875" style="34" customWidth="1"/>
    <col min="12" max="13" width="5.8515625" style="34" customWidth="1"/>
    <col min="14" max="14" width="3.7109375" style="14" hidden="1" customWidth="1"/>
    <col min="15" max="15" width="5.140625" style="34" hidden="1" customWidth="1"/>
    <col min="16" max="16" width="20.7109375" style="34" hidden="1" customWidth="1"/>
    <col min="17" max="17" width="5.8515625" style="34" hidden="1" customWidth="1"/>
    <col min="18" max="23" width="5.57421875" style="34" hidden="1" customWidth="1"/>
    <col min="24" max="26" width="5.57421875" style="14" hidden="1" customWidth="1"/>
    <col min="27" max="27" width="9.57421875" style="14" hidden="1" customWidth="1"/>
    <col min="28" max="28" width="1.57421875" style="14" customWidth="1"/>
    <col min="29" max="29" width="5.00390625" style="90" customWidth="1"/>
    <col min="30" max="30" width="24.00390625" style="90" customWidth="1"/>
    <col min="31" max="31" width="5.7109375" style="90" customWidth="1"/>
    <col min="32" max="32" width="7.00390625" style="90" customWidth="1"/>
    <col min="33" max="33" width="7.140625" style="90" customWidth="1"/>
    <col min="34" max="34" width="8.00390625" style="90" customWidth="1"/>
    <col min="35" max="35" width="11.421875" style="31" customWidth="1"/>
  </cols>
  <sheetData>
    <row r="1" spans="1:38" s="5" customFormat="1" ht="21" customHeight="1">
      <c r="A1" s="186" t="s">
        <v>60</v>
      </c>
      <c r="B1" s="187"/>
      <c r="C1" s="187"/>
      <c r="D1" s="187"/>
      <c r="E1" s="187"/>
      <c r="F1" s="188"/>
      <c r="G1" s="189" t="s">
        <v>0</v>
      </c>
      <c r="H1" s="190"/>
      <c r="I1" s="190"/>
      <c r="J1" s="191"/>
      <c r="K1" s="1"/>
      <c r="L1" s="192" t="s">
        <v>1</v>
      </c>
      <c r="M1" s="193"/>
      <c r="N1" s="2"/>
      <c r="O1" s="170" t="s">
        <v>2</v>
      </c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2"/>
      <c r="AB1" s="3"/>
      <c r="AC1" s="194" t="s">
        <v>145</v>
      </c>
      <c r="AD1" s="195"/>
      <c r="AE1" s="195"/>
      <c r="AF1" s="195"/>
      <c r="AG1" s="195"/>
      <c r="AH1" s="196"/>
      <c r="AI1" s="4"/>
      <c r="AJ1" s="4"/>
      <c r="AK1" s="4"/>
      <c r="AL1" s="4"/>
    </row>
    <row r="2" spans="1:35" s="13" customFormat="1" ht="35.25" customHeight="1">
      <c r="A2" s="69" t="s">
        <v>3</v>
      </c>
      <c r="B2" s="70" t="s">
        <v>4</v>
      </c>
      <c r="C2" s="71" t="s">
        <v>5</v>
      </c>
      <c r="D2" s="176" t="str">
        <f>IF(D35="","Bitte zuerst die 5 Mannschaftsnamen unten ab Zeile 35 eingeben","Spielpaarung")</f>
        <v>Spielpaarung</v>
      </c>
      <c r="E2" s="177"/>
      <c r="F2" s="178"/>
      <c r="G2" s="179" t="s">
        <v>6</v>
      </c>
      <c r="H2" s="180"/>
      <c r="I2" s="181" t="s">
        <v>7</v>
      </c>
      <c r="J2" s="182"/>
      <c r="K2" s="6"/>
      <c r="L2" s="183" t="s">
        <v>8</v>
      </c>
      <c r="M2" s="184"/>
      <c r="N2" s="6"/>
      <c r="O2" s="7" t="s">
        <v>9</v>
      </c>
      <c r="P2" s="7" t="s">
        <v>10</v>
      </c>
      <c r="Q2" s="7" t="s">
        <v>11</v>
      </c>
      <c r="R2" s="8" t="s">
        <v>12</v>
      </c>
      <c r="S2" s="9" t="s">
        <v>13</v>
      </c>
      <c r="T2" s="7" t="s">
        <v>8</v>
      </c>
      <c r="U2" s="8" t="s">
        <v>14</v>
      </c>
      <c r="V2" s="9" t="s">
        <v>15</v>
      </c>
      <c r="W2" s="7" t="s">
        <v>16</v>
      </c>
      <c r="X2" s="9" t="s">
        <v>17</v>
      </c>
      <c r="Y2" s="9" t="s">
        <v>18</v>
      </c>
      <c r="Z2" s="7" t="s">
        <v>19</v>
      </c>
      <c r="AA2" s="10" t="s">
        <v>20</v>
      </c>
      <c r="AB2" s="11"/>
      <c r="AC2" s="89" t="s">
        <v>9</v>
      </c>
      <c r="AD2" s="89" t="s">
        <v>10</v>
      </c>
      <c r="AE2" s="101" t="s">
        <v>11</v>
      </c>
      <c r="AF2" s="101" t="s">
        <v>8</v>
      </c>
      <c r="AG2" s="101" t="s">
        <v>16</v>
      </c>
      <c r="AH2" s="101" t="s">
        <v>19</v>
      </c>
      <c r="AI2" s="4"/>
    </row>
    <row r="3" spans="1:35" ht="12.75" customHeight="1">
      <c r="A3" s="72">
        <v>1</v>
      </c>
      <c r="B3" s="73" t="s">
        <v>40</v>
      </c>
      <c r="C3" s="74" t="s">
        <v>168</v>
      </c>
      <c r="D3" s="75" t="str">
        <f>$D$39</f>
        <v>TuS Holle/Grasdorf II</v>
      </c>
      <c r="E3" s="76" t="s">
        <v>21</v>
      </c>
      <c r="F3" s="75" t="str">
        <f>$D$38</f>
        <v>SV Hildesia Diekholzen II</v>
      </c>
      <c r="G3" s="77">
        <v>1</v>
      </c>
      <c r="H3" s="78">
        <v>3</v>
      </c>
      <c r="I3" s="79">
        <v>95</v>
      </c>
      <c r="J3" s="80">
        <v>93</v>
      </c>
      <c r="K3" s="14"/>
      <c r="L3" s="15">
        <f>IF($G3+$H3&lt;&gt;4,"",IF($G3&gt;$H3,2,IF($G3=$H3,1,0)))</f>
        <v>0</v>
      </c>
      <c r="M3" s="16">
        <f>IF($G3+$H3&lt;&gt;4,"",2-$L3)</f>
        <v>2</v>
      </c>
      <c r="N3" s="17">
        <f aca="true" t="shared" si="0" ref="N3:N31">IF(AND(G3&lt;&gt;"",H3&lt;&gt;"",G3+H3&lt;&gt;4),"!!!","")</f>
      </c>
      <c r="O3" s="18">
        <f>RANK(AA3,$AA$3:$AA$7)</f>
        <v>1</v>
      </c>
      <c r="P3" s="19" t="str">
        <f>D35</f>
        <v>MTV Bodenburg</v>
      </c>
      <c r="Q3" s="18">
        <f>(R3+S3)/2</f>
        <v>8</v>
      </c>
      <c r="R3" s="20">
        <f>SUMIF($D$3:$D$31,$P3,$L$3:$L$31)+SUMIF($F$3:$F$31,$P3,$M$3:$M$31)</f>
        <v>14</v>
      </c>
      <c r="S3" s="21">
        <f>SUMIF($D$3:$D$31,$P3,$M$3:$M$31)+SUMIF($F$3:$F$31,$P3,$L$3:$L$31)</f>
        <v>2</v>
      </c>
      <c r="T3" s="18" t="str">
        <f>R3&amp;" : "&amp;S3</f>
        <v>14 : 2</v>
      </c>
      <c r="U3" s="20">
        <f>SUMIF($D$3:$D$31,$P3,$G$3:$G$31)+SUMIF($F$3:$F$31,$P3,$H$3:$H$31)</f>
        <v>26</v>
      </c>
      <c r="V3" s="21">
        <f>SUMIF($D$3:$D$31,$P3,$H$3:$H$31)+SUMIF($F$3:$F$31,$P3,$G$3:$G$31)</f>
        <v>6</v>
      </c>
      <c r="W3" s="18" t="str">
        <f>U3&amp;" : "&amp;V3</f>
        <v>26 : 6</v>
      </c>
      <c r="X3" s="20">
        <f>SUMIF($D$3:$D$31,$P3,$I$3:$I$31)+SUMIF($F$3:$F$31,$P3,$J$3:$J$31)</f>
        <v>760</v>
      </c>
      <c r="Y3" s="21">
        <f>SUMIF($D$3:$D$31,$P3,$J$3:$J$31)+SUMIF($F$3:$F$31,$P3,$I$3:$I$31)</f>
        <v>620</v>
      </c>
      <c r="Z3" s="18" t="str">
        <f>X3&amp;" : "&amp;Y3</f>
        <v>760 : 620</v>
      </c>
      <c r="AA3" s="22">
        <f>R3*1000000000+(R3-S3)*10000000+(U3-V3)*10000+(X3-Y3)-ROW(P3)/100</f>
        <v>14120200139.97</v>
      </c>
      <c r="AB3" s="11"/>
      <c r="AC3" s="23">
        <v>1</v>
      </c>
      <c r="AD3" s="24" t="str">
        <f>VLOOKUP($AC3,$O$3:$P$7,2,FALSE)</f>
        <v>MTV Bodenburg</v>
      </c>
      <c r="AE3" s="23">
        <f>VLOOKUP($AC3,$O$3:$Z$7,3,FALSE)</f>
        <v>8</v>
      </c>
      <c r="AF3" s="23" t="str">
        <f>VLOOKUP($AC3,$O$3:$Z$7,6,FALSE)</f>
        <v>14 : 2</v>
      </c>
      <c r="AG3" s="23" t="str">
        <f>VLOOKUP($AC3,$O$3:$Z$7,9,FALSE)</f>
        <v>26 : 6</v>
      </c>
      <c r="AH3" s="23" t="str">
        <f>VLOOKUP($AC3,$O$3:$Z$7,12,FALSE)</f>
        <v>760 : 620</v>
      </c>
      <c r="AI3"/>
    </row>
    <row r="4" spans="1:35" ht="12.75" customHeight="1">
      <c r="A4" s="72">
        <v>2</v>
      </c>
      <c r="B4" s="73" t="s">
        <v>29</v>
      </c>
      <c r="C4" s="74" t="s">
        <v>63</v>
      </c>
      <c r="D4" s="75" t="str">
        <f>$D$35</f>
        <v>MTV Bodenburg</v>
      </c>
      <c r="E4" s="76" t="s">
        <v>21</v>
      </c>
      <c r="F4" s="75" t="str">
        <f>$D$36</f>
        <v>TSV Brüggen</v>
      </c>
      <c r="G4" s="77">
        <v>4</v>
      </c>
      <c r="H4" s="78">
        <v>0</v>
      </c>
      <c r="I4" s="79">
        <v>100</v>
      </c>
      <c r="J4" s="80">
        <v>77</v>
      </c>
      <c r="K4" s="17"/>
      <c r="L4" s="15">
        <f>IF($G4+$H4&lt;&gt;4,"",IF($G4&gt;$H4,2,IF($G4=$H4,1,0)))</f>
        <v>2</v>
      </c>
      <c r="M4" s="16">
        <f>IF($G4+$H4&lt;&gt;4,"",2-$L4)</f>
        <v>0</v>
      </c>
      <c r="N4" s="17">
        <f t="shared" si="0"/>
      </c>
      <c r="O4" s="18">
        <f>RANK(AA4,$AA$3:$AA$7)</f>
        <v>3</v>
      </c>
      <c r="P4" s="19" t="str">
        <f>D36</f>
        <v>TSV Brüggen</v>
      </c>
      <c r="Q4" s="18">
        <f>(R4+S4)/2</f>
        <v>8</v>
      </c>
      <c r="R4" s="20">
        <f>SUMIF($D$3:$D$31,$P4,$L$3:$L$31)+SUMIF($F$3:$F$31,$P4,$M$3:$M$31)</f>
        <v>6</v>
      </c>
      <c r="S4" s="21">
        <f>SUMIF($D$3:$D$31,$P4,$M$3:$M$31)+SUMIF($F$3:$F$31,$P4,$L$3:$L$31)</f>
        <v>10</v>
      </c>
      <c r="T4" s="18" t="str">
        <f>R4&amp;" : "&amp;S4</f>
        <v>6 : 10</v>
      </c>
      <c r="U4" s="20">
        <f>SUMIF($D$3:$D$31,$P4,$G$3:$G$31)+SUMIF($F$3:$F$31,$P4,$H$3:$H$31)</f>
        <v>13</v>
      </c>
      <c r="V4" s="21">
        <f>SUMIF($D$3:$D$31,$P4,$H$3:$H$31)+SUMIF($F$3:$F$31,$P4,$G$3:$G$31)</f>
        <v>19</v>
      </c>
      <c r="W4" s="18" t="str">
        <f>U4&amp;" : "&amp;V4</f>
        <v>13 : 19</v>
      </c>
      <c r="X4" s="20">
        <f>SUMIF($D$3:$D$31,$P4,$I$3:$I$31)+SUMIF($F$3:$F$31,$P4,$J$3:$J$31)</f>
        <v>696</v>
      </c>
      <c r="Y4" s="21">
        <f>SUMIF($D$3:$D$31,$P4,$J$3:$J$31)+SUMIF($F$3:$F$31,$P4,$I$3:$I$31)</f>
        <v>704</v>
      </c>
      <c r="Z4" s="18" t="str">
        <f>X4&amp;" : "&amp;Y4</f>
        <v>696 : 704</v>
      </c>
      <c r="AA4" s="22">
        <f>R4*1000000000+(R4-S4)*10000000+(U4-V4)*10000+(X4-Y4)-ROW(P4)/100</f>
        <v>5959939991.96</v>
      </c>
      <c r="AB4" s="11"/>
      <c r="AC4" s="23">
        <v>2</v>
      </c>
      <c r="AD4" s="24" t="str">
        <f>VLOOKUP($AC4,$O$3:$Z$7,2,FALSE)</f>
        <v>SV Hildesia Diekholzen II</v>
      </c>
      <c r="AE4" s="23">
        <f>VLOOKUP($AC4,$O$3:$Z$7,3,FALSE)</f>
        <v>8</v>
      </c>
      <c r="AF4" s="23" t="str">
        <f>VLOOKUP($AC4,$O$3:$Z$7,6,FALSE)</f>
        <v>13 : 3</v>
      </c>
      <c r="AG4" s="23" t="str">
        <f>VLOOKUP($AC4,$O$3:$Z$7,9,FALSE)</f>
        <v>24 : 8</v>
      </c>
      <c r="AH4" s="23" t="str">
        <f>VLOOKUP($AC4,$O$3:$Z$7,12,FALSE)</f>
        <v>750 : 631</v>
      </c>
      <c r="AI4"/>
    </row>
    <row r="5" spans="1:35" ht="12.75" customHeight="1">
      <c r="A5" s="85"/>
      <c r="B5" s="86"/>
      <c r="C5" s="86"/>
      <c r="D5" s="86"/>
      <c r="E5" s="86"/>
      <c r="F5" s="86"/>
      <c r="G5" s="81"/>
      <c r="H5" s="82"/>
      <c r="I5" s="83"/>
      <c r="J5" s="84"/>
      <c r="K5" s="27"/>
      <c r="L5" s="25"/>
      <c r="M5" s="26"/>
      <c r="N5" s="28"/>
      <c r="O5" s="18">
        <f>RANK(AA5,$AA$3:$AA$7)</f>
        <v>5</v>
      </c>
      <c r="P5" s="19" t="str">
        <f>D37</f>
        <v>MTV Bledeln</v>
      </c>
      <c r="Q5" s="18">
        <f>(R5+S5)/2</f>
        <v>8</v>
      </c>
      <c r="R5" s="20">
        <f>SUMIF($D$3:$D$31,$P5,$L$3:$L$31)+SUMIF($F$3:$F$31,$P5,$M$3:$M$31)</f>
        <v>3</v>
      </c>
      <c r="S5" s="21">
        <f>SUMIF($D$3:$D$31,$P5,$M$3:$M$31)+SUMIF($F$3:$F$31,$P5,$L$3:$L$31)</f>
        <v>13</v>
      </c>
      <c r="T5" s="18" t="str">
        <f>R5&amp;" : "&amp;S5</f>
        <v>3 : 13</v>
      </c>
      <c r="U5" s="20">
        <f>SUMIF($D$3:$D$31,$P5,$G$3:$G$31)+SUMIF($F$3:$F$31,$P5,$H$3:$H$31)</f>
        <v>9</v>
      </c>
      <c r="V5" s="21">
        <f>SUMIF($D$3:$D$31,$P5,$H$3:$H$31)+SUMIF($F$3:$F$31,$P5,$G$3:$G$31)</f>
        <v>23</v>
      </c>
      <c r="W5" s="18" t="str">
        <f>U5&amp;" : "&amp;V5</f>
        <v>9 : 23</v>
      </c>
      <c r="X5" s="20">
        <f>SUMIF($D$3:$D$31,$P5,$I$3:$I$31)+SUMIF($F$3:$F$31,$P5,$J$3:$J$31)</f>
        <v>614</v>
      </c>
      <c r="Y5" s="21">
        <f>SUMIF($D$3:$D$31,$P5,$J$3:$J$31)+SUMIF($F$3:$F$31,$P5,$I$3:$I$31)</f>
        <v>732</v>
      </c>
      <c r="Z5" s="18" t="str">
        <f>X5&amp;" : "&amp;Y5</f>
        <v>614 : 732</v>
      </c>
      <c r="AA5" s="22">
        <f>R5*1000000000+(R5-S5)*10000000+(U5-V5)*10000+(X5-Y5)-ROW(P5)/100</f>
        <v>2899859881.95</v>
      </c>
      <c r="AB5" s="11"/>
      <c r="AC5" s="23">
        <v>3</v>
      </c>
      <c r="AD5" s="24" t="str">
        <f>VLOOKUP($AC5,$O$3:$Z$7,2,FALSE)</f>
        <v>TSV Brüggen</v>
      </c>
      <c r="AE5" s="23">
        <f>VLOOKUP($AC5,$O$3:$Z$7,3,FALSE)</f>
        <v>8</v>
      </c>
      <c r="AF5" s="23" t="str">
        <f>VLOOKUP($AC5,$O$3:$Z$7,6,FALSE)</f>
        <v>6 : 10</v>
      </c>
      <c r="AG5" s="23" t="str">
        <f>VLOOKUP($AC5,$O$3:$Z$7,9,FALSE)</f>
        <v>13 : 19</v>
      </c>
      <c r="AH5" s="23" t="str">
        <f>VLOOKUP($AC5,$O$3:$Z$7,12,FALSE)</f>
        <v>696 : 704</v>
      </c>
      <c r="AI5"/>
    </row>
    <row r="6" spans="1:35" ht="12.75" customHeight="1">
      <c r="A6" s="72">
        <v>3</v>
      </c>
      <c r="B6" s="73" t="s">
        <v>29</v>
      </c>
      <c r="C6" s="74" t="s">
        <v>141</v>
      </c>
      <c r="D6" s="75" t="str">
        <f>$D$37</f>
        <v>MTV Bledeln</v>
      </c>
      <c r="E6" s="76" t="s">
        <v>21</v>
      </c>
      <c r="F6" s="75" t="str">
        <f>$D$39</f>
        <v>TuS Holle/Grasdorf II</v>
      </c>
      <c r="G6" s="77">
        <v>1</v>
      </c>
      <c r="H6" s="78">
        <v>3</v>
      </c>
      <c r="I6" s="79">
        <v>78</v>
      </c>
      <c r="J6" s="80">
        <v>97</v>
      </c>
      <c r="K6" s="14"/>
      <c r="L6" s="15">
        <f>IF($G6+$H6&lt;&gt;4,"",IF($G6&gt;$H6,2,IF($G6=$H6,1,0)))</f>
        <v>0</v>
      </c>
      <c r="M6" s="16">
        <f>IF($G6+$H6&lt;&gt;4,"",2-$L6)</f>
        <v>2</v>
      </c>
      <c r="N6" s="17">
        <f t="shared" si="0"/>
      </c>
      <c r="O6" s="18">
        <f>RANK(AA6,$AA$3:$AA$7)</f>
        <v>2</v>
      </c>
      <c r="P6" s="19" t="str">
        <f>D38</f>
        <v>SV Hildesia Diekholzen II</v>
      </c>
      <c r="Q6" s="18">
        <f>(R6+S6)/2</f>
        <v>8</v>
      </c>
      <c r="R6" s="20">
        <f>SUMIF($D$3:$D$31,$P6,$L$3:$L$31)+SUMIF($F$3:$F$31,$P6,$M$3:$M$31)</f>
        <v>13</v>
      </c>
      <c r="S6" s="21">
        <f>SUMIF($D$3:$D$31,$P6,$M$3:$M$31)+SUMIF($F$3:$F$31,$P6,$L$3:$L$31)</f>
        <v>3</v>
      </c>
      <c r="T6" s="18" t="str">
        <f>R6&amp;" : "&amp;S6</f>
        <v>13 : 3</v>
      </c>
      <c r="U6" s="20">
        <f>SUMIF($D$3:$D$31,$P6,$G$3:$G$31)+SUMIF($F$3:$F$31,$P6,$H$3:$H$31)</f>
        <v>24</v>
      </c>
      <c r="V6" s="21">
        <f>SUMIF($D$3:$D$31,$P6,$H$3:$H$31)+SUMIF($F$3:$F$31,$P6,$G$3:$G$31)</f>
        <v>8</v>
      </c>
      <c r="W6" s="18" t="str">
        <f>U6&amp;" : "&amp;V6</f>
        <v>24 : 8</v>
      </c>
      <c r="X6" s="20">
        <f>SUMIF($D$3:$D$31,$P6,$I$3:$I$31)+SUMIF($F$3:$F$31,$P6,$J$3:$J$31)</f>
        <v>750</v>
      </c>
      <c r="Y6" s="21">
        <f>SUMIF($D$3:$D$31,$P6,$J$3:$J$31)+SUMIF($F$3:$F$31,$P6,$I$3:$I$31)</f>
        <v>631</v>
      </c>
      <c r="Z6" s="18" t="str">
        <f>X6&amp;" : "&amp;Y6</f>
        <v>750 : 631</v>
      </c>
      <c r="AA6" s="22">
        <f>R6*1000000000+(R6-S6)*10000000+(U6-V6)*10000+(X6-Y6)-ROW(P6)/100</f>
        <v>13100160118.94</v>
      </c>
      <c r="AB6" s="11"/>
      <c r="AC6" s="23">
        <v>4</v>
      </c>
      <c r="AD6" s="24" t="str">
        <f>VLOOKUP($AC6,$O$3:$Z$7,2,FALSE)</f>
        <v>TuS Holle/Grasdorf II</v>
      </c>
      <c r="AE6" s="23">
        <f>VLOOKUP($AC6,$O$3:$Z$7,3,FALSE)</f>
        <v>8</v>
      </c>
      <c r="AF6" s="23" t="str">
        <f>VLOOKUP($AC6,$O$3:$Z$7,6,FALSE)</f>
        <v>4 : 12</v>
      </c>
      <c r="AG6" s="23" t="str">
        <f>VLOOKUP($AC6,$O$3:$Z$7,9,FALSE)</f>
        <v>8 : 24</v>
      </c>
      <c r="AH6" s="23" t="str">
        <f>VLOOKUP($AC6,$O$3:$Z$7,12,FALSE)</f>
        <v>606 : 739</v>
      </c>
      <c r="AI6"/>
    </row>
    <row r="7" spans="1:35" ht="12.75" customHeight="1">
      <c r="A7" s="72">
        <v>4</v>
      </c>
      <c r="B7" s="73" t="s">
        <v>29</v>
      </c>
      <c r="C7" s="74" t="s">
        <v>80</v>
      </c>
      <c r="D7" s="75" t="str">
        <f>$D$38</f>
        <v>SV Hildesia Diekholzen II</v>
      </c>
      <c r="E7" s="76" t="s">
        <v>21</v>
      </c>
      <c r="F7" s="75" t="str">
        <f>$D$35</f>
        <v>MTV Bodenburg</v>
      </c>
      <c r="G7" s="77">
        <v>2</v>
      </c>
      <c r="H7" s="78">
        <v>2</v>
      </c>
      <c r="I7" s="79">
        <v>89</v>
      </c>
      <c r="J7" s="80">
        <v>77</v>
      </c>
      <c r="K7" s="17"/>
      <c r="L7" s="15">
        <f>IF($G7+$H7&lt;&gt;4,"",IF($G7&gt;$H7,2,IF($G7=$H7,1,0)))</f>
        <v>1</v>
      </c>
      <c r="M7" s="16">
        <f>IF($G7+$H7&lt;&gt;4,"",2-$L7)</f>
        <v>1</v>
      </c>
      <c r="N7" s="17">
        <f t="shared" si="0"/>
      </c>
      <c r="O7" s="18">
        <f>RANK(AA7,$AA$3:$AA$7)</f>
        <v>4</v>
      </c>
      <c r="P7" s="19" t="str">
        <f>D39</f>
        <v>TuS Holle/Grasdorf II</v>
      </c>
      <c r="Q7" s="18">
        <f>(R7+S7)/2</f>
        <v>8</v>
      </c>
      <c r="R7" s="20">
        <f>SUMIF($D$3:$D$31,$P7,$L$3:$L$31)+SUMIF($F$3:$F$31,$P7,$M$3:$M$31)</f>
        <v>4</v>
      </c>
      <c r="S7" s="21">
        <f>SUMIF($D$3:$D$31,$P7,$M$3:$M$31)+SUMIF($F$3:$F$31,$P7,$L$3:$L$31)</f>
        <v>12</v>
      </c>
      <c r="T7" s="18" t="str">
        <f>R7&amp;" : "&amp;S7</f>
        <v>4 : 12</v>
      </c>
      <c r="U7" s="20">
        <f>SUMIF($D$3:$D$31,$P7,$G$3:$G$31)+SUMIF($F$3:$F$31,$P7,$H$3:$H$31)</f>
        <v>8</v>
      </c>
      <c r="V7" s="21">
        <f>SUMIF($D$3:$D$31,$P7,$H$3:$H$31)+SUMIF($F$3:$F$31,$P7,$G$3:$G$31)</f>
        <v>24</v>
      </c>
      <c r="W7" s="18" t="str">
        <f>U7&amp;" : "&amp;V7</f>
        <v>8 : 24</v>
      </c>
      <c r="X7" s="20">
        <f>SUMIF($D$3:$D$31,$P7,$I$3:$I$31)+SUMIF($F$3:$F$31,$P7,$J$3:$J$31)</f>
        <v>606</v>
      </c>
      <c r="Y7" s="21">
        <f>SUMIF($D$3:$D$31,$P7,$J$3:$J$31)+SUMIF($F$3:$F$31,$P7,$I$3:$I$31)</f>
        <v>739</v>
      </c>
      <c r="Z7" s="18" t="str">
        <f>X7&amp;" : "&amp;Y7</f>
        <v>606 : 739</v>
      </c>
      <c r="AA7" s="22">
        <f>R7*1000000000+(R7-S7)*10000000+(U7-V7)*10000+(X7-Y7)-ROW(P7)/100</f>
        <v>3919839866.93</v>
      </c>
      <c r="AB7" s="11"/>
      <c r="AC7" s="23">
        <v>5</v>
      </c>
      <c r="AD7" s="24" t="str">
        <f>VLOOKUP($AC7,$O$3:$Z$7,2,FALSE)</f>
        <v>MTV Bledeln</v>
      </c>
      <c r="AE7" s="23">
        <f>VLOOKUP($AC7,$O$3:$Z$7,3,FALSE)</f>
        <v>8</v>
      </c>
      <c r="AF7" s="23" t="str">
        <f>VLOOKUP($AC7,$O$3:$Z$7,6,FALSE)</f>
        <v>3 : 13</v>
      </c>
      <c r="AG7" s="23" t="str">
        <f>VLOOKUP($AC7,$O$3:$Z$7,9,FALSE)</f>
        <v>9 : 23</v>
      </c>
      <c r="AH7" s="23" t="str">
        <f>VLOOKUP($AC7,$O$3:$Z$7,12,FALSE)</f>
        <v>614 : 732</v>
      </c>
      <c r="AI7"/>
    </row>
    <row r="8" spans="1:35" ht="12.75" customHeight="1">
      <c r="A8" s="85"/>
      <c r="B8" s="86"/>
      <c r="C8" s="86"/>
      <c r="D8" s="86"/>
      <c r="E8" s="86"/>
      <c r="F8" s="86"/>
      <c r="G8" s="81"/>
      <c r="H8" s="82"/>
      <c r="I8" s="83"/>
      <c r="J8" s="84"/>
      <c r="K8" s="27"/>
      <c r="L8" s="25"/>
      <c r="M8" s="26"/>
      <c r="N8" s="28"/>
      <c r="O8" s="29"/>
      <c r="P8" s="29"/>
      <c r="Q8" s="29"/>
      <c r="R8" s="29"/>
      <c r="S8" s="29"/>
      <c r="T8" s="29"/>
      <c r="U8" s="29"/>
      <c r="V8" s="29"/>
      <c r="W8" s="29"/>
      <c r="X8" s="11"/>
      <c r="Y8" s="11"/>
      <c r="Z8" s="11"/>
      <c r="AA8" s="11"/>
      <c r="AB8" s="11"/>
      <c r="AI8"/>
    </row>
    <row r="9" spans="1:34" ht="12.75" customHeight="1">
      <c r="A9" s="72">
        <v>5</v>
      </c>
      <c r="B9" s="73" t="s">
        <v>40</v>
      </c>
      <c r="C9" s="74" t="s">
        <v>109</v>
      </c>
      <c r="D9" s="75" t="str">
        <f>$D$39</f>
        <v>TuS Holle/Grasdorf II</v>
      </c>
      <c r="E9" s="76" t="s">
        <v>21</v>
      </c>
      <c r="F9" s="75" t="str">
        <f>$D$35</f>
        <v>MTV Bodenburg</v>
      </c>
      <c r="G9" s="77">
        <v>0</v>
      </c>
      <c r="H9" s="78">
        <v>4</v>
      </c>
      <c r="I9" s="79">
        <v>52</v>
      </c>
      <c r="J9" s="80">
        <v>100</v>
      </c>
      <c r="K9" s="14"/>
      <c r="L9" s="15">
        <f>IF($G9+$H9&lt;&gt;4,"",IF($G9&gt;$H9,2,IF($G9=$H9,1,0)))</f>
        <v>0</v>
      </c>
      <c r="M9" s="16">
        <f>IF($G9+$H9&lt;&gt;4,"",2-$L9)</f>
        <v>2</v>
      </c>
      <c r="N9" s="17">
        <f t="shared" si="0"/>
      </c>
      <c r="O9" s="29"/>
      <c r="P9" s="29"/>
      <c r="Q9" s="29"/>
      <c r="R9" s="29"/>
      <c r="S9" s="29"/>
      <c r="T9" s="29"/>
      <c r="U9" s="29"/>
      <c r="V9" s="29"/>
      <c r="W9" s="29"/>
      <c r="X9" s="11"/>
      <c r="Y9" s="11"/>
      <c r="Z9" s="11"/>
      <c r="AA9" s="11"/>
      <c r="AB9" s="11"/>
      <c r="AC9" s="91" t="s">
        <v>22</v>
      </c>
      <c r="AF9" s="88">
        <f>SUM(R$3:S7)/2</f>
        <v>40</v>
      </c>
      <c r="AG9" s="88">
        <f>SUM(U$3:V7)/2</f>
        <v>80</v>
      </c>
      <c r="AH9" s="88">
        <f>SUM(X$3:Y7)/2</f>
        <v>3426</v>
      </c>
    </row>
    <row r="10" spans="1:28" ht="12.75" customHeight="1">
      <c r="A10" s="72">
        <v>6</v>
      </c>
      <c r="B10" s="73" t="s">
        <v>40</v>
      </c>
      <c r="C10" s="74" t="s">
        <v>109</v>
      </c>
      <c r="D10" s="75" t="str">
        <f>$D$36</f>
        <v>TSV Brüggen</v>
      </c>
      <c r="E10" s="76" t="s">
        <v>21</v>
      </c>
      <c r="F10" s="75" t="str">
        <f>$D$37</f>
        <v>MTV Bledeln</v>
      </c>
      <c r="G10" s="77">
        <v>4</v>
      </c>
      <c r="H10" s="78">
        <v>0</v>
      </c>
      <c r="I10" s="79">
        <v>102</v>
      </c>
      <c r="J10" s="80">
        <v>75</v>
      </c>
      <c r="K10" s="17"/>
      <c r="L10" s="15">
        <f>IF($G10+$H10&lt;&gt;4,"",IF($G10&gt;$H10,2,IF($G10=$H10,1,0)))</f>
        <v>2</v>
      </c>
      <c r="M10" s="16">
        <f>IF($G10+$H10&lt;&gt;4,"",2-$L10)</f>
        <v>0</v>
      </c>
      <c r="N10" s="17">
        <f t="shared" si="0"/>
      </c>
      <c r="O10" s="29"/>
      <c r="P10" s="29"/>
      <c r="Q10" s="29"/>
      <c r="R10" s="29"/>
      <c r="S10" s="29"/>
      <c r="T10" s="29"/>
      <c r="U10" s="29"/>
      <c r="V10" s="29"/>
      <c r="W10" s="29"/>
      <c r="X10" s="11"/>
      <c r="Y10" s="11"/>
      <c r="Z10" s="11"/>
      <c r="AA10" s="11"/>
      <c r="AB10" s="11"/>
    </row>
    <row r="11" spans="1:28" ht="12.75" customHeight="1">
      <c r="A11" s="85"/>
      <c r="B11" s="86"/>
      <c r="C11" s="86"/>
      <c r="D11" s="86"/>
      <c r="E11" s="86"/>
      <c r="F11" s="86"/>
      <c r="G11" s="81"/>
      <c r="H11" s="82"/>
      <c r="I11" s="83"/>
      <c r="J11" s="84"/>
      <c r="K11" s="27"/>
      <c r="L11" s="25"/>
      <c r="M11" s="26"/>
      <c r="N11" s="28"/>
      <c r="O11" s="29"/>
      <c r="P11" s="29"/>
      <c r="Q11" s="29"/>
      <c r="R11" s="29"/>
      <c r="S11" s="29"/>
      <c r="T11" s="29"/>
      <c r="U11" s="29"/>
      <c r="V11" s="29"/>
      <c r="W11" s="29"/>
      <c r="X11" s="11"/>
      <c r="Y11" s="11"/>
      <c r="Z11" s="11"/>
      <c r="AA11" s="11"/>
      <c r="AB11" s="11"/>
    </row>
    <row r="12" spans="1:28" ht="12.75" customHeight="1">
      <c r="A12" s="72">
        <v>7</v>
      </c>
      <c r="B12" s="73" t="s">
        <v>29</v>
      </c>
      <c r="C12" s="74" t="s">
        <v>110</v>
      </c>
      <c r="D12" s="75" t="str">
        <f>$D$38</f>
        <v>SV Hildesia Diekholzen II</v>
      </c>
      <c r="E12" s="76" t="s">
        <v>21</v>
      </c>
      <c r="F12" s="75" t="str">
        <f>$D$36</f>
        <v>TSV Brüggen</v>
      </c>
      <c r="G12" s="77">
        <v>3</v>
      </c>
      <c r="H12" s="78">
        <v>1</v>
      </c>
      <c r="I12" s="79">
        <v>92</v>
      </c>
      <c r="J12" s="80">
        <v>88</v>
      </c>
      <c r="K12" s="14"/>
      <c r="L12" s="15">
        <f>IF($G12+$H12&lt;&gt;4,"",IF($G12&gt;$H12,2,IF($G12=$H12,1,0)))</f>
        <v>2</v>
      </c>
      <c r="M12" s="16">
        <f>IF($G12+$H12&lt;&gt;4,"",2-$L12)</f>
        <v>0</v>
      </c>
      <c r="N12" s="17">
        <f t="shared" si="0"/>
      </c>
      <c r="O12" s="29"/>
      <c r="P12" s="29"/>
      <c r="Q12" s="29"/>
      <c r="R12" s="29"/>
      <c r="S12" s="29"/>
      <c r="T12" s="29"/>
      <c r="U12" s="29"/>
      <c r="V12" s="29"/>
      <c r="W12" s="29"/>
      <c r="X12" s="11"/>
      <c r="Y12" s="11"/>
      <c r="Z12" s="11"/>
      <c r="AA12" s="11"/>
      <c r="AB12" s="11"/>
    </row>
    <row r="13" spans="1:28" ht="12.75" customHeight="1">
      <c r="A13" s="72">
        <v>8</v>
      </c>
      <c r="B13" s="73" t="s">
        <v>29</v>
      </c>
      <c r="C13" s="74" t="s">
        <v>110</v>
      </c>
      <c r="D13" s="75" t="str">
        <f>$D$35</f>
        <v>MTV Bodenburg</v>
      </c>
      <c r="E13" s="76" t="s">
        <v>21</v>
      </c>
      <c r="F13" s="75" t="str">
        <f>$D$37</f>
        <v>MTV Bledeln</v>
      </c>
      <c r="G13" s="77">
        <v>4</v>
      </c>
      <c r="H13" s="78">
        <v>0</v>
      </c>
      <c r="I13" s="79">
        <v>100</v>
      </c>
      <c r="J13" s="80">
        <v>56</v>
      </c>
      <c r="K13" s="17"/>
      <c r="L13" s="15">
        <f>IF($G13+$H13&lt;&gt;4,"",IF($G13&gt;$H13,2,IF($G13=$H13,1,0)))</f>
        <v>2</v>
      </c>
      <c r="M13" s="16">
        <f>IF($G13+$H13&lt;&gt;4,"",2-$L13)</f>
        <v>0</v>
      </c>
      <c r="N13" s="17">
        <f t="shared" si="0"/>
      </c>
      <c r="O13" s="29"/>
      <c r="P13" s="29"/>
      <c r="Q13" s="29"/>
      <c r="R13" s="29"/>
      <c r="S13" s="29"/>
      <c r="T13" s="29"/>
      <c r="U13" s="29"/>
      <c r="V13" s="29"/>
      <c r="W13" s="29"/>
      <c r="X13" s="11"/>
      <c r="Y13" s="11"/>
      <c r="Z13" s="11"/>
      <c r="AA13" s="11"/>
      <c r="AB13" s="11"/>
    </row>
    <row r="14" spans="1:28" ht="12.75" customHeight="1">
      <c r="A14" s="85"/>
      <c r="B14" s="86"/>
      <c r="C14" s="86"/>
      <c r="D14" s="86"/>
      <c r="E14" s="86"/>
      <c r="F14" s="86"/>
      <c r="G14" s="81"/>
      <c r="H14" s="82"/>
      <c r="I14" s="83"/>
      <c r="J14" s="84"/>
      <c r="K14" s="27"/>
      <c r="L14" s="25"/>
      <c r="M14" s="26"/>
      <c r="N14" s="28"/>
      <c r="O14" s="29"/>
      <c r="P14" s="29"/>
      <c r="Q14" s="29"/>
      <c r="R14" s="29"/>
      <c r="S14" s="29"/>
      <c r="T14" s="29"/>
      <c r="U14" s="29"/>
      <c r="V14" s="29"/>
      <c r="W14" s="29"/>
      <c r="X14" s="11"/>
      <c r="Y14" s="11"/>
      <c r="Z14" s="11"/>
      <c r="AA14" s="11"/>
      <c r="AB14" s="11"/>
    </row>
    <row r="15" spans="1:28" ht="12.75" customHeight="1">
      <c r="A15" s="72">
        <v>9</v>
      </c>
      <c r="B15" s="73" t="s">
        <v>29</v>
      </c>
      <c r="C15" s="74" t="s">
        <v>84</v>
      </c>
      <c r="D15" s="75" t="str">
        <f>$D$37</f>
        <v>MTV Bledeln</v>
      </c>
      <c r="E15" s="76" t="s">
        <v>21</v>
      </c>
      <c r="F15" s="75" t="str">
        <f>$D$38</f>
        <v>SV Hildesia Diekholzen II</v>
      </c>
      <c r="G15" s="77">
        <v>0</v>
      </c>
      <c r="H15" s="78">
        <v>4</v>
      </c>
      <c r="I15" s="79">
        <v>60</v>
      </c>
      <c r="J15" s="80">
        <v>100</v>
      </c>
      <c r="K15" s="14"/>
      <c r="L15" s="15">
        <f>IF($G15+$H15&lt;&gt;4,"",IF($G15&gt;$H15,2,IF($G15=$H15,1,0)))</f>
        <v>0</v>
      </c>
      <c r="M15" s="16">
        <f>IF($G15+$H15&lt;&gt;4,"",2-$L15)</f>
        <v>2</v>
      </c>
      <c r="N15" s="17">
        <f t="shared" si="0"/>
      </c>
      <c r="O15" s="29"/>
      <c r="P15" s="29"/>
      <c r="Q15" s="29"/>
      <c r="R15" s="29"/>
      <c r="S15" s="29"/>
      <c r="T15" s="29"/>
      <c r="U15" s="29"/>
      <c r="V15" s="29"/>
      <c r="W15" s="29"/>
      <c r="X15" s="11"/>
      <c r="Y15" s="11"/>
      <c r="Z15" s="11"/>
      <c r="AA15" s="11"/>
      <c r="AB15" s="11"/>
    </row>
    <row r="16" spans="1:28" ht="12.75" customHeight="1">
      <c r="A16" s="72">
        <v>10</v>
      </c>
      <c r="B16" s="73" t="s">
        <v>40</v>
      </c>
      <c r="C16" s="74" t="s">
        <v>97</v>
      </c>
      <c r="D16" s="75" t="str">
        <f>$D$36</f>
        <v>TSV Brüggen</v>
      </c>
      <c r="E16" s="76" t="s">
        <v>21</v>
      </c>
      <c r="F16" s="75" t="str">
        <f>$D$39</f>
        <v>TuS Holle/Grasdorf II</v>
      </c>
      <c r="G16" s="77">
        <v>3</v>
      </c>
      <c r="H16" s="78">
        <v>1</v>
      </c>
      <c r="I16" s="79">
        <v>94</v>
      </c>
      <c r="J16" s="80">
        <v>68</v>
      </c>
      <c r="K16" s="17"/>
      <c r="L16" s="15">
        <f>IF($G16+$H16&lt;&gt;4,"",IF($G16&gt;$H16,2,IF($G16=$H16,1,0)))</f>
        <v>2</v>
      </c>
      <c r="M16" s="16">
        <f>IF($G16+$H16&lt;&gt;4,"",2-$L16)</f>
        <v>0</v>
      </c>
      <c r="N16" s="17">
        <f t="shared" si="0"/>
      </c>
      <c r="O16" s="29"/>
      <c r="P16" s="29"/>
      <c r="Q16" s="29"/>
      <c r="R16" s="29"/>
      <c r="S16" s="29"/>
      <c r="T16" s="29"/>
      <c r="U16" s="29"/>
      <c r="V16" s="29"/>
      <c r="W16" s="29"/>
      <c r="X16" s="11"/>
      <c r="Y16" s="11"/>
      <c r="Z16" s="11"/>
      <c r="AA16" s="11"/>
      <c r="AB16" s="11"/>
    </row>
    <row r="17" spans="1:28" ht="12.75" customHeight="1">
      <c r="A17" s="85"/>
      <c r="B17" s="86"/>
      <c r="C17" s="86"/>
      <c r="D17" s="86"/>
      <c r="E17" s="86"/>
      <c r="F17" s="86"/>
      <c r="G17" s="81"/>
      <c r="H17" s="82"/>
      <c r="I17" s="83"/>
      <c r="J17" s="84"/>
      <c r="K17" s="27"/>
      <c r="L17" s="25"/>
      <c r="M17" s="26"/>
      <c r="N17" s="28"/>
      <c r="O17" s="29"/>
      <c r="P17" s="29"/>
      <c r="Q17" s="29"/>
      <c r="R17" s="29"/>
      <c r="S17" s="29"/>
      <c r="T17" s="29"/>
      <c r="U17" s="29"/>
      <c r="V17" s="29"/>
      <c r="W17" s="29"/>
      <c r="X17" s="11"/>
      <c r="Y17" s="11"/>
      <c r="Z17" s="11"/>
      <c r="AA17" s="11"/>
      <c r="AB17" s="11"/>
    </row>
    <row r="18" spans="1:28" ht="12.75" customHeight="1">
      <c r="A18" s="72">
        <v>11</v>
      </c>
      <c r="B18" s="73" t="s">
        <v>29</v>
      </c>
      <c r="C18" s="74" t="s">
        <v>111</v>
      </c>
      <c r="D18" s="75" t="str">
        <f>$D$38</f>
        <v>SV Hildesia Diekholzen II</v>
      </c>
      <c r="E18" s="76" t="s">
        <v>21</v>
      </c>
      <c r="F18" s="75" t="str">
        <f>$D$39</f>
        <v>TuS Holle/Grasdorf II</v>
      </c>
      <c r="G18" s="77">
        <v>4</v>
      </c>
      <c r="H18" s="78">
        <v>0</v>
      </c>
      <c r="I18" s="79">
        <v>100</v>
      </c>
      <c r="J18" s="80">
        <v>70</v>
      </c>
      <c r="K18" s="14"/>
      <c r="L18" s="15">
        <f>IF($G18+$H18&lt;&gt;4,"",IF($G18&gt;$H18,2,IF($G18=$H18,1,0)))</f>
        <v>2</v>
      </c>
      <c r="M18" s="16">
        <f>IF($G18+$H18&lt;&gt;4,"",2-$L18)</f>
        <v>0</v>
      </c>
      <c r="N18" s="17">
        <f t="shared" si="0"/>
      </c>
      <c r="O18" s="29"/>
      <c r="P18" s="29"/>
      <c r="Q18" s="29"/>
      <c r="R18" s="29"/>
      <c r="S18" s="29"/>
      <c r="T18" s="29"/>
      <c r="U18" s="29"/>
      <c r="V18" s="29"/>
      <c r="W18" s="29"/>
      <c r="X18" s="11"/>
      <c r="Y18" s="11"/>
      <c r="Z18" s="11"/>
      <c r="AA18" s="11"/>
      <c r="AB18" s="11"/>
    </row>
    <row r="19" spans="1:28" ht="12.75" customHeight="1">
      <c r="A19" s="72">
        <v>12</v>
      </c>
      <c r="B19" s="73" t="s">
        <v>40</v>
      </c>
      <c r="C19" s="74" t="s">
        <v>85</v>
      </c>
      <c r="D19" s="75" t="str">
        <f>$D$36</f>
        <v>TSV Brüggen</v>
      </c>
      <c r="E19" s="76" t="s">
        <v>21</v>
      </c>
      <c r="F19" s="75" t="str">
        <f>$D$35</f>
        <v>MTV Bodenburg</v>
      </c>
      <c r="G19" s="77">
        <v>1</v>
      </c>
      <c r="H19" s="78">
        <v>3</v>
      </c>
      <c r="I19" s="79">
        <v>95</v>
      </c>
      <c r="J19" s="80">
        <v>93</v>
      </c>
      <c r="K19" s="17"/>
      <c r="L19" s="15">
        <f>IF($G19+$H19&lt;&gt;4,"",IF($G19&gt;$H19,2,IF($G19=$H19,1,0)))</f>
        <v>0</v>
      </c>
      <c r="M19" s="16">
        <f>IF($G19+$H19&lt;&gt;4,"",2-$L19)</f>
        <v>2</v>
      </c>
      <c r="N19" s="17">
        <f t="shared" si="0"/>
      </c>
      <c r="O19" s="29"/>
      <c r="P19" s="29"/>
      <c r="Q19" s="29"/>
      <c r="R19" s="29"/>
      <c r="S19" s="29"/>
      <c r="T19" s="29"/>
      <c r="U19" s="29"/>
      <c r="V19" s="29"/>
      <c r="W19" s="29"/>
      <c r="X19" s="11"/>
      <c r="Y19" s="11"/>
      <c r="Z19" s="11"/>
      <c r="AA19" s="11"/>
      <c r="AB19" s="11"/>
    </row>
    <row r="20" spans="1:28" ht="12.75" customHeight="1">
      <c r="A20" s="85"/>
      <c r="B20" s="86"/>
      <c r="C20" s="86"/>
      <c r="D20" s="86"/>
      <c r="E20" s="86"/>
      <c r="F20" s="86"/>
      <c r="G20" s="81"/>
      <c r="H20" s="82"/>
      <c r="I20" s="83"/>
      <c r="J20" s="84"/>
      <c r="K20" s="27"/>
      <c r="L20" s="25"/>
      <c r="M20" s="26"/>
      <c r="N20" s="28"/>
      <c r="O20" s="29"/>
      <c r="P20" s="29"/>
      <c r="Q20" s="29"/>
      <c r="R20" s="29"/>
      <c r="S20" s="29"/>
      <c r="T20" s="29"/>
      <c r="U20" s="29"/>
      <c r="V20" s="29"/>
      <c r="W20" s="29"/>
      <c r="X20" s="11"/>
      <c r="Y20" s="11"/>
      <c r="Z20" s="11"/>
      <c r="AA20" s="11"/>
      <c r="AB20" s="11"/>
    </row>
    <row r="21" spans="1:14" ht="12.75" customHeight="1">
      <c r="A21" s="72">
        <v>13</v>
      </c>
      <c r="B21" s="73" t="s">
        <v>40</v>
      </c>
      <c r="C21" s="74" t="s">
        <v>112</v>
      </c>
      <c r="D21" s="75" t="str">
        <f>$D$39</f>
        <v>TuS Holle/Grasdorf II</v>
      </c>
      <c r="E21" s="76" t="s">
        <v>21</v>
      </c>
      <c r="F21" s="75" t="str">
        <f>$D$37</f>
        <v>MTV Bledeln</v>
      </c>
      <c r="G21" s="77">
        <v>0</v>
      </c>
      <c r="H21" s="78">
        <v>4</v>
      </c>
      <c r="I21" s="79">
        <v>50</v>
      </c>
      <c r="J21" s="80">
        <v>100</v>
      </c>
      <c r="K21" s="14"/>
      <c r="L21" s="15">
        <f>IF($G21+$H21&lt;&gt;4,"",IF($G21&gt;$H21,2,IF($G21=$H21,1,0)))</f>
        <v>0</v>
      </c>
      <c r="M21" s="16">
        <f>IF($G21+$H21&lt;&gt;4,"",2-$L21)</f>
        <v>2</v>
      </c>
      <c r="N21" s="17">
        <f t="shared" si="0"/>
      </c>
    </row>
    <row r="22" spans="1:34" ht="12.75" customHeight="1">
      <c r="A22" s="72">
        <v>14</v>
      </c>
      <c r="B22" s="73" t="s">
        <v>29</v>
      </c>
      <c r="C22" s="74" t="s">
        <v>86</v>
      </c>
      <c r="D22" s="75" t="str">
        <f>$D$35</f>
        <v>MTV Bodenburg</v>
      </c>
      <c r="E22" s="76" t="s">
        <v>21</v>
      </c>
      <c r="F22" s="75" t="str">
        <f>$D$38</f>
        <v>SV Hildesia Diekholzen II</v>
      </c>
      <c r="G22" s="77">
        <v>3</v>
      </c>
      <c r="H22" s="78">
        <v>1</v>
      </c>
      <c r="I22" s="79">
        <v>95</v>
      </c>
      <c r="J22" s="80">
        <v>85</v>
      </c>
      <c r="K22" s="17"/>
      <c r="L22" s="15">
        <f>IF($G22+$H22&lt;&gt;4,"",IF($G22&gt;$H22,2,IF($G22=$H22,1,0)))</f>
        <v>2</v>
      </c>
      <c r="M22" s="16">
        <f>IF($G22+$H22&lt;&gt;4,"",2-$L22)</f>
        <v>0</v>
      </c>
      <c r="N22" s="17">
        <f t="shared" si="0"/>
      </c>
      <c r="O22" s="35"/>
      <c r="P22" s="35"/>
      <c r="Q22" s="35"/>
      <c r="R22" s="35"/>
      <c r="S22" s="35"/>
      <c r="T22" s="35"/>
      <c r="U22" s="35"/>
      <c r="V22" s="35"/>
      <c r="W22" s="35"/>
      <c r="X22" s="36"/>
      <c r="Y22" s="36"/>
      <c r="Z22" s="36"/>
      <c r="AA22" s="36"/>
      <c r="AB22" s="36"/>
      <c r="AC22" s="47"/>
      <c r="AD22" s="47"/>
      <c r="AE22" s="47"/>
      <c r="AF22" s="47"/>
      <c r="AG22" s="47"/>
      <c r="AH22" s="47"/>
    </row>
    <row r="23" spans="1:14" ht="12.75" customHeight="1">
      <c r="A23" s="85"/>
      <c r="B23" s="86"/>
      <c r="C23" s="86"/>
      <c r="D23" s="86"/>
      <c r="E23" s="86"/>
      <c r="F23" s="86"/>
      <c r="G23" s="81"/>
      <c r="H23" s="82"/>
      <c r="I23" s="83"/>
      <c r="J23" s="84"/>
      <c r="K23" s="27"/>
      <c r="L23" s="25"/>
      <c r="M23" s="26"/>
      <c r="N23" s="28"/>
    </row>
    <row r="24" spans="1:14" ht="12.75" customHeight="1">
      <c r="A24" s="72">
        <v>15</v>
      </c>
      <c r="B24" s="73" t="s">
        <v>29</v>
      </c>
      <c r="C24" s="74" t="s">
        <v>21</v>
      </c>
      <c r="D24" s="75" t="str">
        <f>$D$35</f>
        <v>MTV Bodenburg</v>
      </c>
      <c r="E24" s="76" t="s">
        <v>21</v>
      </c>
      <c r="F24" s="75" t="str">
        <f>$D$39</f>
        <v>TuS Holle/Grasdorf II</v>
      </c>
      <c r="G24" s="77">
        <v>4</v>
      </c>
      <c r="H24" s="78">
        <v>0</v>
      </c>
      <c r="I24" s="79">
        <v>100</v>
      </c>
      <c r="J24" s="80">
        <v>80</v>
      </c>
      <c r="K24" s="14"/>
      <c r="L24" s="15">
        <f>IF($G24+$H24&lt;&gt;4,"",IF($G24&gt;$H24,2,IF($G24=$H24,1,0)))</f>
        <v>2</v>
      </c>
      <c r="M24" s="16">
        <f>IF($G24+$H24&lt;&gt;4,"",2-$L24)</f>
        <v>0</v>
      </c>
      <c r="N24" s="17">
        <f t="shared" si="0"/>
      </c>
    </row>
    <row r="25" spans="1:14" ht="12.75" customHeight="1">
      <c r="A25" s="72">
        <v>16</v>
      </c>
      <c r="B25" s="73" t="s">
        <v>29</v>
      </c>
      <c r="C25" s="74" t="s">
        <v>87</v>
      </c>
      <c r="D25" s="75" t="str">
        <f>$D$37</f>
        <v>MTV Bledeln</v>
      </c>
      <c r="E25" s="76" t="s">
        <v>21</v>
      </c>
      <c r="F25" s="75" t="str">
        <f>$D$36</f>
        <v>TSV Brüggen</v>
      </c>
      <c r="G25" s="77">
        <v>1</v>
      </c>
      <c r="H25" s="78">
        <v>3</v>
      </c>
      <c r="I25" s="79">
        <v>82</v>
      </c>
      <c r="J25" s="80">
        <v>97</v>
      </c>
      <c r="K25" s="17"/>
      <c r="L25" s="15">
        <f>IF($G25+$H25&lt;&gt;4,"",IF($G25&gt;$H25,2,IF($G25=$H25,1,0)))</f>
        <v>0</v>
      </c>
      <c r="M25" s="16">
        <f>IF($G25+$H25&lt;&gt;4,"",2-$L25)</f>
        <v>2</v>
      </c>
      <c r="N25" s="17">
        <f t="shared" si="0"/>
      </c>
    </row>
    <row r="26" spans="1:14" ht="12.75" customHeight="1">
      <c r="A26" s="87"/>
      <c r="B26" s="86"/>
      <c r="C26" s="86"/>
      <c r="D26" s="86"/>
      <c r="E26" s="86"/>
      <c r="F26" s="86"/>
      <c r="G26" s="81"/>
      <c r="H26" s="82"/>
      <c r="I26" s="83"/>
      <c r="J26" s="84"/>
      <c r="K26" s="27"/>
      <c r="L26" s="25"/>
      <c r="M26" s="26"/>
      <c r="N26" s="28"/>
    </row>
    <row r="27" spans="1:14" ht="12.75" customHeight="1">
      <c r="A27" s="72">
        <v>17</v>
      </c>
      <c r="B27" s="73" t="s">
        <v>40</v>
      </c>
      <c r="C27" s="74" t="s">
        <v>184</v>
      </c>
      <c r="D27" s="75" t="str">
        <f>$D$36</f>
        <v>TSV Brüggen</v>
      </c>
      <c r="E27" s="76" t="s">
        <v>21</v>
      </c>
      <c r="F27" s="75" t="str">
        <f>$D$38</f>
        <v>SV Hildesia Diekholzen II</v>
      </c>
      <c r="G27" s="77">
        <v>0</v>
      </c>
      <c r="H27" s="78">
        <v>4</v>
      </c>
      <c r="I27" s="79">
        <v>69</v>
      </c>
      <c r="J27" s="80">
        <v>100</v>
      </c>
      <c r="K27" s="14"/>
      <c r="L27" s="15">
        <f>IF($G27+$H27&lt;&gt;4,"",IF($G27&gt;$H27,2,IF($G27=$H27,1,0)))</f>
        <v>0</v>
      </c>
      <c r="M27" s="16">
        <f>IF($G27+$H27&lt;&gt;4,"",2-$L27)</f>
        <v>2</v>
      </c>
      <c r="N27" s="17">
        <f t="shared" si="0"/>
      </c>
    </row>
    <row r="28" spans="1:14" ht="12.75" customHeight="1">
      <c r="A28" s="72">
        <v>18</v>
      </c>
      <c r="B28" s="73" t="s">
        <v>29</v>
      </c>
      <c r="C28" s="74" t="s">
        <v>88</v>
      </c>
      <c r="D28" s="75" t="str">
        <f>$D$37</f>
        <v>MTV Bledeln</v>
      </c>
      <c r="E28" s="76" t="s">
        <v>21</v>
      </c>
      <c r="F28" s="75" t="str">
        <f>$D$35</f>
        <v>MTV Bodenburg</v>
      </c>
      <c r="G28" s="77">
        <v>2</v>
      </c>
      <c r="H28" s="78">
        <v>2</v>
      </c>
      <c r="I28" s="79">
        <v>86</v>
      </c>
      <c r="J28" s="80">
        <v>95</v>
      </c>
      <c r="K28" s="17"/>
      <c r="L28" s="15">
        <f>IF($G28+$H28&lt;&gt;4,"",IF($G28&gt;$H28,2,IF($G28=$H28,1,0)))</f>
        <v>1</v>
      </c>
      <c r="M28" s="16">
        <f>IF($G28+$H28&lt;&gt;4,"",2-$L28)</f>
        <v>1</v>
      </c>
      <c r="N28" s="17">
        <f t="shared" si="0"/>
      </c>
    </row>
    <row r="29" spans="1:14" ht="12.75" customHeight="1">
      <c r="A29" s="85"/>
      <c r="B29" s="86"/>
      <c r="C29" s="86"/>
      <c r="D29" s="86"/>
      <c r="E29" s="86"/>
      <c r="F29" s="86"/>
      <c r="G29" s="81"/>
      <c r="H29" s="82"/>
      <c r="I29" s="83"/>
      <c r="J29" s="84"/>
      <c r="K29" s="27"/>
      <c r="L29" s="25"/>
      <c r="M29" s="26"/>
      <c r="N29" s="28"/>
    </row>
    <row r="30" spans="1:14" ht="12.75" customHeight="1">
      <c r="A30" s="72">
        <v>19</v>
      </c>
      <c r="B30" s="73" t="s">
        <v>29</v>
      </c>
      <c r="C30" s="74" t="s">
        <v>174</v>
      </c>
      <c r="D30" s="75" t="str">
        <f>$D$38</f>
        <v>SV Hildesia Diekholzen II</v>
      </c>
      <c r="E30" s="76" t="s">
        <v>21</v>
      </c>
      <c r="F30" s="75" t="str">
        <f>$D$37</f>
        <v>MTV Bledeln</v>
      </c>
      <c r="G30" s="77">
        <v>3</v>
      </c>
      <c r="H30" s="78">
        <v>1</v>
      </c>
      <c r="I30" s="79">
        <v>91</v>
      </c>
      <c r="J30" s="80">
        <v>77</v>
      </c>
      <c r="K30" s="14"/>
      <c r="L30" s="15">
        <f>IF($G30+$H30&lt;&gt;4,"",IF($G30&gt;$H30,2,IF($G30=$H30,1,0)))</f>
        <v>2</v>
      </c>
      <c r="M30" s="16">
        <f>IF($G30+$H30&lt;&gt;4,"",2-$L30)</f>
        <v>0</v>
      </c>
      <c r="N30" s="17">
        <f t="shared" si="0"/>
      </c>
    </row>
    <row r="31" spans="1:14" ht="12.75" customHeight="1">
      <c r="A31" s="72">
        <v>20</v>
      </c>
      <c r="B31" s="73" t="s">
        <v>40</v>
      </c>
      <c r="C31" s="74" t="s">
        <v>183</v>
      </c>
      <c r="D31" s="75" t="str">
        <f>$D$39</f>
        <v>TuS Holle/Grasdorf II</v>
      </c>
      <c r="E31" s="76" t="s">
        <v>21</v>
      </c>
      <c r="F31" s="75" t="str">
        <f>$D$36</f>
        <v>TSV Brüggen</v>
      </c>
      <c r="G31" s="77">
        <v>3</v>
      </c>
      <c r="H31" s="78">
        <v>1</v>
      </c>
      <c r="I31" s="79">
        <v>94</v>
      </c>
      <c r="J31" s="80">
        <v>74</v>
      </c>
      <c r="K31" s="17"/>
      <c r="L31" s="15">
        <f>IF($G31+$H31&lt;&gt;4,"",IF($G31&gt;$H31,2,IF($G31=$H31,1,0)))</f>
        <v>2</v>
      </c>
      <c r="M31" s="16">
        <f>IF($G31+$H31&lt;&gt;4,"",2-$L31)</f>
        <v>0</v>
      </c>
      <c r="N31" s="17">
        <f t="shared" si="0"/>
      </c>
    </row>
    <row r="32" spans="1:13" ht="12.75" customHeight="1">
      <c r="A32" s="38"/>
      <c r="B32" s="38"/>
      <c r="C32" s="39"/>
      <c r="D32" s="40"/>
      <c r="E32" s="41"/>
      <c r="F32" s="42"/>
      <c r="L32" s="29"/>
      <c r="M32" s="29"/>
    </row>
    <row r="33" spans="1:35" s="48" customFormat="1" ht="12.75" customHeight="1">
      <c r="A33" s="68" t="s">
        <v>22</v>
      </c>
      <c r="B33" s="43"/>
      <c r="C33" s="43"/>
      <c r="D33" s="44"/>
      <c r="E33" s="45"/>
      <c r="F33" s="44"/>
      <c r="G33" s="185">
        <f>SUM(G3:H32)</f>
        <v>80</v>
      </c>
      <c r="H33" s="185"/>
      <c r="I33" s="185">
        <f>SUM(I3:J32)</f>
        <v>3426</v>
      </c>
      <c r="J33" s="185"/>
      <c r="K33" s="47"/>
      <c r="L33" s="185">
        <f>SUM(L3:M32)</f>
        <v>40</v>
      </c>
      <c r="M33" s="185"/>
      <c r="N33" s="36"/>
      <c r="O33" s="34"/>
      <c r="P33" s="34"/>
      <c r="Q33" s="34"/>
      <c r="R33" s="34"/>
      <c r="S33" s="34"/>
      <c r="T33" s="34"/>
      <c r="U33" s="34"/>
      <c r="V33" s="34"/>
      <c r="W33" s="34"/>
      <c r="X33" s="14"/>
      <c r="Y33" s="14"/>
      <c r="Z33" s="14"/>
      <c r="AA33" s="14"/>
      <c r="AB33" s="14"/>
      <c r="AC33" s="90"/>
      <c r="AD33" s="90"/>
      <c r="AE33" s="90"/>
      <c r="AF33" s="90"/>
      <c r="AG33" s="90"/>
      <c r="AH33" s="90"/>
      <c r="AI33" s="37"/>
    </row>
    <row r="34" spans="4:6" ht="12.75">
      <c r="D34" s="42"/>
      <c r="E34" s="41"/>
      <c r="F34" s="42"/>
    </row>
    <row r="35" spans="1:34" ht="12.75">
      <c r="A35" s="50" t="s">
        <v>23</v>
      </c>
      <c r="B35" s="51"/>
      <c r="C35" s="52"/>
      <c r="D35" s="53" t="s">
        <v>51</v>
      </c>
      <c r="E35" s="41"/>
      <c r="F35" s="42"/>
      <c r="AD35" s="92" t="s">
        <v>24</v>
      </c>
      <c r="AE35" s="93"/>
      <c r="AF35" s="93"/>
      <c r="AG35" s="93"/>
      <c r="AH35" s="94"/>
    </row>
    <row r="36" spans="1:34" ht="12.75">
      <c r="A36" s="57"/>
      <c r="B36" s="57"/>
      <c r="C36" s="58"/>
      <c r="D36" s="53" t="s">
        <v>108</v>
      </c>
      <c r="E36" s="41"/>
      <c r="F36" s="42"/>
      <c r="AD36" s="95" t="s">
        <v>25</v>
      </c>
      <c r="AE36" s="96"/>
      <c r="AF36" s="96"/>
      <c r="AG36" s="96"/>
      <c r="AH36" s="97"/>
    </row>
    <row r="37" spans="1:34" ht="12.75">
      <c r="A37" s="62"/>
      <c r="B37" s="62"/>
      <c r="C37" s="63"/>
      <c r="D37" s="53" t="s">
        <v>52</v>
      </c>
      <c r="E37" s="41"/>
      <c r="F37" s="42"/>
      <c r="AD37" s="95" t="s">
        <v>26</v>
      </c>
      <c r="AE37" s="96"/>
      <c r="AF37" s="96"/>
      <c r="AG37" s="96"/>
      <c r="AH37" s="97"/>
    </row>
    <row r="38" spans="1:34" ht="12.75">
      <c r="A38" s="62"/>
      <c r="B38" s="62"/>
      <c r="C38" s="63"/>
      <c r="D38" s="53" t="s">
        <v>54</v>
      </c>
      <c r="E38" s="41"/>
      <c r="F38" s="42"/>
      <c r="AD38" s="95" t="s">
        <v>27</v>
      </c>
      <c r="AE38" s="96"/>
      <c r="AF38" s="96"/>
      <c r="AG38" s="96"/>
      <c r="AH38" s="97"/>
    </row>
    <row r="39" spans="4:34" ht="12.75">
      <c r="D39" s="53" t="s">
        <v>55</v>
      </c>
      <c r="E39" s="41"/>
      <c r="F39" s="42"/>
      <c r="AD39" s="98" t="s">
        <v>28</v>
      </c>
      <c r="AE39" s="99"/>
      <c r="AF39" s="99"/>
      <c r="AG39" s="99"/>
      <c r="AH39" s="100"/>
    </row>
  </sheetData>
  <sheetProtection/>
  <mergeCells count="12">
    <mergeCell ref="O1:AA1"/>
    <mergeCell ref="AC1:AH1"/>
    <mergeCell ref="D2:F2"/>
    <mergeCell ref="G2:H2"/>
    <mergeCell ref="I2:J2"/>
    <mergeCell ref="L2:M2"/>
    <mergeCell ref="G33:H33"/>
    <mergeCell ref="I33:J33"/>
    <mergeCell ref="L33:M33"/>
    <mergeCell ref="A1:F1"/>
    <mergeCell ref="G1:J1"/>
    <mergeCell ref="L1:M1"/>
  </mergeCells>
  <printOptions/>
  <pageMargins left="0.46" right="0.1968503937007874" top="0.5905511811023623" bottom="0.38" header="0.5118110236220472" footer="0.31"/>
  <pageSetup fitToHeight="1" fitToWidth="1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21.57421875" style="106" customWidth="1"/>
    <col min="2" max="2" width="11.57421875" style="106" customWidth="1"/>
    <col min="3" max="3" width="29.57421875" style="106" customWidth="1"/>
    <col min="4" max="4" width="24.421875" style="107" customWidth="1"/>
    <col min="5" max="5" width="3.28125" style="108" customWidth="1"/>
    <col min="6" max="6" width="24.8515625" style="106" customWidth="1"/>
    <col min="7" max="7" width="24.140625" style="106" customWidth="1"/>
    <col min="8" max="16384" width="11.421875" style="104" customWidth="1"/>
  </cols>
  <sheetData>
    <row r="1" spans="1:2" ht="15.75">
      <c r="A1" s="105" t="s">
        <v>113</v>
      </c>
      <c r="B1" s="105"/>
    </row>
    <row r="2" spans="1:7" ht="15.75">
      <c r="A2" s="108"/>
      <c r="B2" s="108"/>
      <c r="D2" s="109" t="s">
        <v>114</v>
      </c>
      <c r="F2" s="108" t="s">
        <v>115</v>
      </c>
      <c r="G2" s="108" t="s">
        <v>146</v>
      </c>
    </row>
    <row r="3" spans="1:7" ht="15">
      <c r="A3" s="110"/>
      <c r="B3" s="130" t="s">
        <v>116</v>
      </c>
      <c r="C3" s="136">
        <v>43024</v>
      </c>
      <c r="D3" s="133" t="s">
        <v>117</v>
      </c>
      <c r="E3" s="131" t="s">
        <v>118</v>
      </c>
      <c r="F3" s="135" t="s">
        <v>119</v>
      </c>
      <c r="G3" s="133" t="s">
        <v>149</v>
      </c>
    </row>
    <row r="4" spans="1:7" ht="15">
      <c r="A4" s="114"/>
      <c r="B4" s="130" t="s">
        <v>120</v>
      </c>
      <c r="C4" s="134">
        <v>43052</v>
      </c>
      <c r="D4" s="133" t="s">
        <v>54</v>
      </c>
      <c r="E4" s="131" t="s">
        <v>118</v>
      </c>
      <c r="F4" s="135" t="s">
        <v>121</v>
      </c>
      <c r="G4" s="133" t="s">
        <v>156</v>
      </c>
    </row>
    <row r="5" spans="1:7" ht="15.75">
      <c r="A5" s="115" t="s">
        <v>123</v>
      </c>
      <c r="B5" s="130" t="s">
        <v>124</v>
      </c>
      <c r="C5" s="134">
        <v>43040</v>
      </c>
      <c r="D5" s="135" t="s">
        <v>125</v>
      </c>
      <c r="E5" s="131" t="s">
        <v>118</v>
      </c>
      <c r="F5" s="133" t="s">
        <v>126</v>
      </c>
      <c r="G5" s="133" t="s">
        <v>160</v>
      </c>
    </row>
    <row r="6" spans="1:7" ht="15.75">
      <c r="A6" s="116" t="s">
        <v>127</v>
      </c>
      <c r="B6" s="130" t="s">
        <v>128</v>
      </c>
      <c r="C6" s="134">
        <v>43054</v>
      </c>
      <c r="D6" s="137" t="s">
        <v>44</v>
      </c>
      <c r="E6" s="132" t="s">
        <v>118</v>
      </c>
      <c r="F6" s="135" t="s">
        <v>46</v>
      </c>
      <c r="G6" s="133" t="s">
        <v>157</v>
      </c>
    </row>
    <row r="7" spans="1:7" ht="15.75">
      <c r="A7" s="116" t="s">
        <v>129</v>
      </c>
      <c r="B7" s="130" t="s">
        <v>130</v>
      </c>
      <c r="C7" s="134">
        <v>43024</v>
      </c>
      <c r="D7" s="135" t="s">
        <v>39</v>
      </c>
      <c r="E7" s="131" t="s">
        <v>118</v>
      </c>
      <c r="F7" s="133" t="s">
        <v>33</v>
      </c>
      <c r="G7" s="133" t="s">
        <v>147</v>
      </c>
    </row>
    <row r="8" spans="1:7" ht="15.75">
      <c r="A8" s="117"/>
      <c r="B8" s="130" t="s">
        <v>131</v>
      </c>
      <c r="C8" s="136">
        <v>43041</v>
      </c>
      <c r="D8" s="135" t="s">
        <v>122</v>
      </c>
      <c r="E8" s="132" t="s">
        <v>118</v>
      </c>
      <c r="F8" s="137" t="s">
        <v>45</v>
      </c>
      <c r="G8" s="133" t="s">
        <v>153</v>
      </c>
    </row>
    <row r="9" spans="1:7" ht="15.75">
      <c r="A9" s="117"/>
      <c r="B9" s="130" t="s">
        <v>132</v>
      </c>
      <c r="C9" s="133" t="s">
        <v>154</v>
      </c>
      <c r="D9" s="133" t="s">
        <v>108</v>
      </c>
      <c r="E9" s="131" t="s">
        <v>118</v>
      </c>
      <c r="F9" s="135" t="s">
        <v>37</v>
      </c>
      <c r="G9" s="133" t="s">
        <v>155</v>
      </c>
    </row>
    <row r="10" spans="1:7" ht="15.75">
      <c r="A10" s="118"/>
      <c r="B10" s="130" t="s">
        <v>144</v>
      </c>
      <c r="C10" s="134">
        <v>43026</v>
      </c>
      <c r="D10" s="133" t="s">
        <v>53</v>
      </c>
      <c r="E10" s="131" t="s">
        <v>118</v>
      </c>
      <c r="F10" s="135" t="s">
        <v>151</v>
      </c>
      <c r="G10" s="133" t="s">
        <v>150</v>
      </c>
    </row>
    <row r="11" spans="1:3" ht="15.75">
      <c r="A11" s="108"/>
      <c r="B11" s="108"/>
      <c r="C11" s="129"/>
    </row>
    <row r="12" spans="1:7" ht="15.75">
      <c r="A12" s="108"/>
      <c r="B12" s="108"/>
      <c r="G12" s="138" t="s">
        <v>159</v>
      </c>
    </row>
    <row r="13" spans="1:7" ht="15.75">
      <c r="A13" s="119" t="s">
        <v>133</v>
      </c>
      <c r="B13" s="133" t="s">
        <v>161</v>
      </c>
      <c r="C13" s="139" t="s">
        <v>162</v>
      </c>
      <c r="D13" s="135" t="s">
        <v>49</v>
      </c>
      <c r="E13" s="131" t="s">
        <v>118</v>
      </c>
      <c r="F13" s="133" t="s">
        <v>121</v>
      </c>
      <c r="G13" s="133" t="s">
        <v>170</v>
      </c>
    </row>
    <row r="14" spans="1:7" ht="15.75">
      <c r="A14" s="116" t="s">
        <v>127</v>
      </c>
      <c r="B14" s="142" t="s">
        <v>165</v>
      </c>
      <c r="C14" s="140" t="s">
        <v>179</v>
      </c>
      <c r="D14" s="135" t="s">
        <v>125</v>
      </c>
      <c r="E14" s="132" t="s">
        <v>118</v>
      </c>
      <c r="F14" s="137" t="s">
        <v>46</v>
      </c>
      <c r="G14" s="133" t="s">
        <v>178</v>
      </c>
    </row>
    <row r="15" spans="1:7" ht="15.75">
      <c r="A15" s="116" t="s">
        <v>134</v>
      </c>
      <c r="B15" s="133" t="s">
        <v>166</v>
      </c>
      <c r="C15" s="141" t="s">
        <v>176</v>
      </c>
      <c r="D15" s="137" t="s">
        <v>148</v>
      </c>
      <c r="E15" s="132" t="s">
        <v>118</v>
      </c>
      <c r="F15" s="135" t="s">
        <v>122</v>
      </c>
      <c r="G15" s="133" t="s">
        <v>175</v>
      </c>
    </row>
    <row r="16" spans="1:7" ht="15.75">
      <c r="A16" s="120"/>
      <c r="B16" s="133" t="s">
        <v>163</v>
      </c>
      <c r="C16" s="141" t="s">
        <v>164</v>
      </c>
      <c r="D16" s="133" t="s">
        <v>37</v>
      </c>
      <c r="E16" s="131" t="s">
        <v>118</v>
      </c>
      <c r="F16" s="135" t="s">
        <v>151</v>
      </c>
      <c r="G16" s="133" t="s">
        <v>171</v>
      </c>
    </row>
    <row r="17" spans="1:2" ht="15.75">
      <c r="A17" s="108"/>
      <c r="B17" s="108"/>
    </row>
    <row r="19" spans="1:7" ht="15.75">
      <c r="A19" s="121" t="s">
        <v>135</v>
      </c>
      <c r="B19" s="121"/>
      <c r="C19" s="122" t="s">
        <v>136</v>
      </c>
      <c r="D19" s="113"/>
      <c r="E19" s="122"/>
      <c r="F19" s="111"/>
      <c r="G19" s="111"/>
    </row>
    <row r="20" spans="1:7" ht="15.75">
      <c r="A20" s="123" t="s">
        <v>137</v>
      </c>
      <c r="B20" s="133" t="s">
        <v>180</v>
      </c>
      <c r="C20" s="143">
        <v>43252</v>
      </c>
      <c r="D20" s="135" t="s">
        <v>49</v>
      </c>
      <c r="E20" s="112" t="s">
        <v>118</v>
      </c>
      <c r="F20" s="135" t="s">
        <v>125</v>
      </c>
      <c r="G20" s="168" t="s">
        <v>39</v>
      </c>
    </row>
    <row r="21" spans="1:7" ht="15.75">
      <c r="A21" s="123" t="s">
        <v>188</v>
      </c>
      <c r="B21" s="133" t="s">
        <v>181</v>
      </c>
      <c r="C21" s="144" t="s">
        <v>186</v>
      </c>
      <c r="D21" s="135" t="s">
        <v>122</v>
      </c>
      <c r="E21" s="112" t="s">
        <v>118</v>
      </c>
      <c r="F21" s="135" t="s">
        <v>151</v>
      </c>
      <c r="G21" s="169" t="s">
        <v>37</v>
      </c>
    </row>
    <row r="22" spans="1:7" ht="15.75">
      <c r="A22" s="124" t="s">
        <v>187</v>
      </c>
      <c r="B22" s="111"/>
      <c r="C22" s="122" t="s">
        <v>138</v>
      </c>
      <c r="D22" s="113"/>
      <c r="E22" s="122"/>
      <c r="F22" s="111"/>
      <c r="G22" s="111"/>
    </row>
    <row r="23" spans="1:7" ht="15.75">
      <c r="A23" s="108"/>
      <c r="B23" s="108"/>
      <c r="C23" s="111" t="s">
        <v>139</v>
      </c>
      <c r="D23" s="113"/>
      <c r="E23" s="112" t="s">
        <v>118</v>
      </c>
      <c r="F23" s="111"/>
      <c r="G23" s="111"/>
    </row>
    <row r="26" spans="1:4" ht="15.75">
      <c r="A26" s="108" t="s">
        <v>140</v>
      </c>
      <c r="B26" s="108"/>
      <c r="C26" s="108"/>
      <c r="D26" s="109"/>
    </row>
    <row r="28" ht="15.75">
      <c r="A28" s="167"/>
    </row>
    <row r="29" ht="15.75">
      <c r="A29" s="167"/>
    </row>
    <row r="30" ht="15.75">
      <c r="A30" s="167"/>
    </row>
    <row r="31" ht="15.75">
      <c r="A31" s="167"/>
    </row>
    <row r="32" ht="15.75">
      <c r="A32" s="167"/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2017-08-14T17:37:11Z</dcterms:created>
  <dcterms:modified xsi:type="dcterms:W3CDTF">2018-10-22T15:42:30Z</dcterms:modified>
  <cp:category/>
  <cp:version/>
  <cp:contentType/>
  <cp:contentStatus/>
</cp:coreProperties>
</file>