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425" activeTab="4"/>
  </bookViews>
  <sheets>
    <sheet name="Staffel  A" sheetId="1" r:id="rId1"/>
    <sheet name="Staffel  B" sheetId="2" r:id="rId2"/>
    <sheet name="Staffel  C" sheetId="3" r:id="rId3"/>
    <sheet name="Staffel  D" sheetId="4" r:id="rId4"/>
    <sheet name="Staffel  E" sheetId="5" r:id="rId5"/>
  </sheets>
  <definedNames/>
  <calcPr fullCalcOnLoad="1"/>
</workbook>
</file>

<file path=xl/sharedStrings.xml><?xml version="1.0" encoding="utf-8"?>
<sst xmlns="http://schemas.openxmlformats.org/spreadsheetml/2006/main" count="410" uniqueCount="64">
  <si>
    <t>S p i e l p l a n  Staffel  A</t>
  </si>
  <si>
    <t>Ergebnis-Eingabe</t>
  </si>
  <si>
    <t>Automatische Berechnung</t>
  </si>
  <si>
    <t>Auswertung der Spielergebnisse (Spalten ausblenden!)</t>
  </si>
  <si>
    <t>Aktuelle Tabelle</t>
  </si>
  <si>
    <t xml:space="preserve">Spiel-Nr. </t>
  </si>
  <si>
    <t>Tag</t>
  </si>
  <si>
    <t>Datum</t>
  </si>
  <si>
    <t>Ergebnis nach Sätzen</t>
  </si>
  <si>
    <t>Ergebnis nach Satzpunkten</t>
  </si>
  <si>
    <t>Punkte</t>
  </si>
  <si>
    <t>Rang</t>
  </si>
  <si>
    <t>Name</t>
  </si>
  <si>
    <t>Anz. Spiele</t>
  </si>
  <si>
    <t>Erzielte Punkte</t>
  </si>
  <si>
    <t>Abgegebene Punkte</t>
  </si>
  <si>
    <t>Gewonnene Sätze</t>
  </si>
  <si>
    <t>Abgegebene Sätze</t>
  </si>
  <si>
    <t>Sätze</t>
  </si>
  <si>
    <t>Erzielte Satzpunkte</t>
  </si>
  <si>
    <t>Abgegebene Satzpunkte</t>
  </si>
  <si>
    <t>Satz-punkte</t>
  </si>
  <si>
    <t>Rang-Hilfswert</t>
  </si>
  <si>
    <t>Mo</t>
  </si>
  <si>
    <t>-</t>
  </si>
  <si>
    <t>Di</t>
  </si>
  <si>
    <t>Mi</t>
  </si>
  <si>
    <t>Do</t>
  </si>
  <si>
    <t>Total</t>
  </si>
  <si>
    <t>Mannschaften:</t>
  </si>
  <si>
    <t>FSB Hildesheim I</t>
  </si>
  <si>
    <t>Eingaben oder Änderungen nur in den gelben Feldern!</t>
  </si>
  <si>
    <t>TSV Brunkensen I</t>
  </si>
  <si>
    <t>Spielpaarungen, Punkte und die aktuelle Tabelle</t>
  </si>
  <si>
    <t>VFV Hildesheim</t>
  </si>
  <si>
    <t>errechnen sich automatisch aus den Eingaben</t>
  </si>
  <si>
    <t>SSG Algermissen I</t>
  </si>
  <si>
    <t>in den gelben Feldern.</t>
  </si>
  <si>
    <t>Keine Zellen verschieben!  Kopieren ist kein Problem.</t>
  </si>
  <si>
    <t>S p i e l p l a n  Staffel  B</t>
  </si>
  <si>
    <t>Fr</t>
  </si>
  <si>
    <t>VSG Röss/Nordst</t>
  </si>
  <si>
    <t>SV Groß Düngen</t>
  </si>
  <si>
    <t>FSB Hildesheim II</t>
  </si>
  <si>
    <t>SSG Algermissen II</t>
  </si>
  <si>
    <t>MTV Banteln</t>
  </si>
  <si>
    <t>S p i e l p l a n  Staffel  C</t>
  </si>
  <si>
    <t>SV Wendhausen</t>
  </si>
  <si>
    <t>MTV SG Bors/Hars/Acht I</t>
  </si>
  <si>
    <t>CVJM Sarstedt</t>
  </si>
  <si>
    <t>TSV Sibbesse I</t>
  </si>
  <si>
    <t>TSV Brunkensen II</t>
  </si>
  <si>
    <t>S p i e l p l a n  Staffel  D</t>
  </si>
  <si>
    <t>MTV 48 Hildesheim</t>
  </si>
  <si>
    <t>SV Hildesia Diekholzen II</t>
  </si>
  <si>
    <t>MTV SG Bors/Hars/Acht II</t>
  </si>
  <si>
    <t>SV Hildesia Diekholzen I</t>
  </si>
  <si>
    <t>MTV Bodenburg</t>
  </si>
  <si>
    <t>S p i e l p l a n  Staffel  E</t>
  </si>
  <si>
    <t>TuS Holle/Grasdorf</t>
  </si>
  <si>
    <t>TSV Brüggen</t>
  </si>
  <si>
    <t>MTV Bledeln</t>
  </si>
  <si>
    <t>TSV Sibbesse II</t>
  </si>
  <si>
    <t>DJK B-W Hildesheim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</si>
</sst>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7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5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9"/>
      <color indexed="10"/>
      <name val="Arial"/>
      <family val="2"/>
    </font>
    <font>
      <sz val="9"/>
      <color indexed="22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b/>
      <sz val="9"/>
      <color indexed="55"/>
      <name val="Arial"/>
      <family val="2"/>
    </font>
    <font>
      <sz val="12"/>
      <color indexed="55"/>
      <name val="Arial"/>
      <family val="2"/>
    </font>
    <font>
      <sz val="9"/>
      <color indexed="55"/>
      <name val="Arial"/>
      <family val="2"/>
    </font>
    <font>
      <b/>
      <sz val="10"/>
      <color indexed="10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28D31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double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41" fontId="0" fillId="0" borderId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NumberFormat="1" applyFont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12" fillId="34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/>
    </xf>
    <xf numFmtId="0" fontId="10" fillId="33" borderId="13" xfId="0" applyNumberFormat="1" applyFont="1" applyFill="1" applyBorder="1" applyAlignment="1">
      <alignment horizontal="center"/>
    </xf>
    <xf numFmtId="0" fontId="10" fillId="33" borderId="12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/>
    </xf>
    <xf numFmtId="0" fontId="3" fillId="35" borderId="14" xfId="0" applyNumberFormat="1" applyFont="1" applyFill="1" applyBorder="1" applyAlignment="1">
      <alignment horizontal="center"/>
    </xf>
    <xf numFmtId="0" fontId="3" fillId="35" borderId="15" xfId="0" applyNumberFormat="1" applyFont="1" applyFill="1" applyBorder="1" applyAlignment="1">
      <alignment horizontal="center"/>
    </xf>
    <xf numFmtId="0" fontId="16" fillId="35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/>
    </xf>
    <xf numFmtId="0" fontId="17" fillId="0" borderId="0" xfId="0" applyNumberFormat="1" applyFont="1" applyFill="1" applyBorder="1" applyAlignment="1">
      <alignment horizontal="center"/>
    </xf>
    <xf numFmtId="0" fontId="18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8" fillId="0" borderId="0" xfId="0" applyNumberFormat="1" applyFont="1" applyAlignment="1">
      <alignment/>
    </xf>
    <xf numFmtId="0" fontId="21" fillId="0" borderId="0" xfId="0" applyFont="1" applyAlignment="1">
      <alignment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3" fillId="37" borderId="16" xfId="0" applyNumberFormat="1" applyFont="1" applyFill="1" applyBorder="1" applyAlignment="1">
      <alignment/>
    </xf>
    <xf numFmtId="0" fontId="3" fillId="37" borderId="17" xfId="0" applyNumberFormat="1" applyFont="1" applyFill="1" applyBorder="1" applyAlignment="1">
      <alignment/>
    </xf>
    <xf numFmtId="0" fontId="3" fillId="37" borderId="18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37" borderId="11" xfId="0" applyNumberFormat="1" applyFont="1" applyFill="1" applyBorder="1" applyAlignment="1">
      <alignment/>
    </xf>
    <xf numFmtId="0" fontId="3" fillId="37" borderId="0" xfId="0" applyNumberFormat="1" applyFont="1" applyFill="1" applyBorder="1" applyAlignment="1">
      <alignment/>
    </xf>
    <xf numFmtId="0" fontId="3" fillId="37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37" borderId="20" xfId="0" applyNumberFormat="1" applyFont="1" applyFill="1" applyBorder="1" applyAlignment="1">
      <alignment/>
    </xf>
    <xf numFmtId="0" fontId="3" fillId="37" borderId="21" xfId="0" applyNumberFormat="1" applyFont="1" applyFill="1" applyBorder="1" applyAlignment="1">
      <alignment/>
    </xf>
    <xf numFmtId="0" fontId="3" fillId="37" borderId="22" xfId="0" applyNumberFormat="1" applyFont="1" applyFill="1" applyBorder="1" applyAlignment="1">
      <alignment/>
    </xf>
    <xf numFmtId="0" fontId="19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6" borderId="1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2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3" fillId="37" borderId="23" xfId="0" applyFont="1" applyFill="1" applyBorder="1" applyAlignment="1">
      <alignment horizontal="left" vertical="center"/>
    </xf>
    <xf numFmtId="14" fontId="2" fillId="37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2" fillId="37" borderId="23" xfId="0" applyNumberFormat="1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left" vertical="center"/>
    </xf>
    <xf numFmtId="0" fontId="1" fillId="35" borderId="23" xfId="0" applyFont="1" applyFill="1" applyBorder="1" applyAlignment="1">
      <alignment vertical="center"/>
    </xf>
    <xf numFmtId="0" fontId="3" fillId="35" borderId="23" xfId="0" applyFont="1" applyFill="1" applyBorder="1" applyAlignment="1">
      <alignment vertical="center"/>
    </xf>
    <xf numFmtId="0" fontId="2" fillId="35" borderId="23" xfId="0" applyNumberFormat="1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vertical="center"/>
    </xf>
    <xf numFmtId="14" fontId="3" fillId="37" borderId="23" xfId="0" applyNumberFormat="1" applyFont="1" applyFill="1" applyBorder="1" applyAlignment="1">
      <alignment horizontal="center" vertical="center"/>
    </xf>
    <xf numFmtId="0" fontId="3" fillId="37" borderId="23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center" vertical="center"/>
    </xf>
    <xf numFmtId="0" fontId="10" fillId="35" borderId="23" xfId="0" applyFont="1" applyFill="1" applyBorder="1" applyAlignment="1">
      <alignment vertical="center"/>
    </xf>
    <xf numFmtId="0" fontId="3" fillId="35" borderId="23" xfId="0" applyNumberFormat="1" applyFont="1" applyFill="1" applyBorder="1" applyAlignment="1">
      <alignment horizontal="center" vertical="center"/>
    </xf>
    <xf numFmtId="0" fontId="16" fillId="35" borderId="0" xfId="0" applyNumberFormat="1" applyFont="1" applyFill="1" applyAlignment="1">
      <alignment horizontal="center" vertical="center"/>
    </xf>
    <xf numFmtId="0" fontId="3" fillId="37" borderId="24" xfId="0" applyNumberFormat="1" applyFont="1" applyFill="1" applyBorder="1" applyAlignment="1">
      <alignment horizontal="center" vertical="center"/>
    </xf>
    <xf numFmtId="0" fontId="3" fillId="37" borderId="25" xfId="0" applyNumberFormat="1" applyFont="1" applyFill="1" applyBorder="1" applyAlignment="1">
      <alignment horizontal="center" vertical="center"/>
    </xf>
    <xf numFmtId="0" fontId="3" fillId="35" borderId="24" xfId="0" applyNumberFormat="1" applyFont="1" applyFill="1" applyBorder="1" applyAlignment="1">
      <alignment horizontal="center" vertical="center"/>
    </xf>
    <xf numFmtId="0" fontId="3" fillId="35" borderId="25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35" borderId="26" xfId="0" applyFont="1" applyFill="1" applyBorder="1" applyAlignment="1">
      <alignment vertical="center"/>
    </xf>
    <xf numFmtId="0" fontId="2" fillId="36" borderId="14" xfId="0" applyFont="1" applyFill="1" applyBorder="1" applyAlignment="1">
      <alignment/>
    </xf>
    <xf numFmtId="0" fontId="2" fillId="37" borderId="24" xfId="0" applyNumberFormat="1" applyFont="1" applyFill="1" applyBorder="1" applyAlignment="1">
      <alignment horizontal="center" vertical="center"/>
    </xf>
    <xf numFmtId="0" fontId="2" fillId="37" borderId="25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>
      <alignment horizontal="center" vertical="center"/>
    </xf>
    <xf numFmtId="0" fontId="2" fillId="35" borderId="25" xfId="0" applyNumberFormat="1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61" fillId="0" borderId="23" xfId="0" applyFont="1" applyFill="1" applyBorder="1" applyAlignment="1">
      <alignment vertical="center"/>
    </xf>
    <xf numFmtId="0" fontId="18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3" fillId="36" borderId="27" xfId="0" applyNumberFormat="1" applyFont="1" applyFill="1" applyBorder="1" applyAlignment="1">
      <alignment horizontal="center" vertical="center"/>
    </xf>
    <xf numFmtId="0" fontId="6" fillId="36" borderId="12" xfId="0" applyNumberFormat="1" applyFont="1" applyFill="1" applyBorder="1" applyAlignment="1">
      <alignment horizontal="center" vertical="center" wrapText="1"/>
    </xf>
    <xf numFmtId="0" fontId="8" fillId="38" borderId="12" xfId="0" applyNumberFormat="1" applyFont="1" applyFill="1" applyBorder="1" applyAlignment="1">
      <alignment horizontal="center" vertical="center"/>
    </xf>
    <xf numFmtId="0" fontId="9" fillId="39" borderId="12" xfId="0" applyNumberFormat="1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 wrapText="1"/>
    </xf>
    <xf numFmtId="0" fontId="24" fillId="37" borderId="24" xfId="0" applyNumberFormat="1" applyFont="1" applyFill="1" applyBorder="1" applyAlignment="1">
      <alignment horizontal="center" vertical="center" wrapText="1"/>
    </xf>
    <xf numFmtId="0" fontId="24" fillId="37" borderId="28" xfId="0" applyNumberFormat="1" applyFont="1" applyFill="1" applyBorder="1" applyAlignment="1">
      <alignment horizontal="center" vertical="center" wrapText="1"/>
    </xf>
    <xf numFmtId="0" fontId="24" fillId="37" borderId="25" xfId="0" applyNumberFormat="1" applyFont="1" applyFill="1" applyBorder="1" applyAlignment="1">
      <alignment horizontal="center" vertical="center" wrapText="1"/>
    </xf>
    <xf numFmtId="0" fontId="12" fillId="33" borderId="29" xfId="0" applyNumberFormat="1" applyFont="1" applyFill="1" applyBorder="1" applyAlignment="1">
      <alignment horizontal="center" vertical="center" wrapText="1"/>
    </xf>
    <xf numFmtId="0" fontId="25" fillId="36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CC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zoomScalePageLayoutView="0" workbookViewId="0" topLeftCell="A10">
      <selection activeCell="C29" sqref="C29"/>
    </sheetView>
  </sheetViews>
  <sheetFormatPr defaultColWidth="11.421875" defaultRowHeight="12.75"/>
  <cols>
    <col min="1" max="1" width="4.7109375" style="1" customWidth="1"/>
    <col min="2" max="2" width="3.7109375" style="1" customWidth="1"/>
    <col min="3" max="3" width="10.57421875" style="44" customWidth="1"/>
    <col min="4" max="4" width="20.57421875" style="1" customWidth="1"/>
    <col min="5" max="5" width="1.57421875" style="2" customWidth="1"/>
    <col min="6" max="6" width="21.140625" style="1" customWidth="1"/>
    <col min="7" max="8" width="4.28125" style="3" customWidth="1"/>
    <col min="9" max="10" width="5.7109375" style="4" customWidth="1"/>
    <col min="11" max="11" width="0.71875" style="4" customWidth="1"/>
    <col min="12" max="13" width="5.8515625" style="4" customWidth="1"/>
    <col min="14" max="14" width="3.7109375" style="5" customWidth="1"/>
    <col min="15" max="15" width="5.140625" style="4" hidden="1" customWidth="1"/>
    <col min="16" max="16" width="20.7109375" style="4" hidden="1" customWidth="1"/>
    <col min="17" max="17" width="5.8515625" style="4" hidden="1" customWidth="1"/>
    <col min="18" max="23" width="5.57421875" style="4" hidden="1" customWidth="1"/>
    <col min="24" max="26" width="5.57421875" style="5" hidden="1" customWidth="1"/>
    <col min="27" max="27" width="9.57421875" style="5" hidden="1" customWidth="1"/>
    <col min="28" max="28" width="1.57421875" style="5" customWidth="1"/>
    <col min="29" max="29" width="5.421875" style="6" customWidth="1"/>
    <col min="30" max="30" width="20.57421875" style="6" customWidth="1"/>
    <col min="31" max="31" width="5.8515625" style="6" customWidth="1"/>
    <col min="32" max="34" width="8.421875" style="6" customWidth="1"/>
    <col min="35" max="35" width="11.421875" style="6" customWidth="1"/>
  </cols>
  <sheetData>
    <row r="1" spans="1:38" s="11" customFormat="1" ht="21" customHeight="1">
      <c r="A1" s="108" t="s">
        <v>0</v>
      </c>
      <c r="B1" s="109"/>
      <c r="C1" s="109"/>
      <c r="D1" s="109"/>
      <c r="E1" s="109"/>
      <c r="F1" s="109"/>
      <c r="G1" s="110" t="s">
        <v>1</v>
      </c>
      <c r="H1" s="110"/>
      <c r="I1" s="110"/>
      <c r="J1" s="110"/>
      <c r="K1" s="7"/>
      <c r="L1" s="111" t="s">
        <v>2</v>
      </c>
      <c r="M1" s="111"/>
      <c r="N1" s="8"/>
      <c r="O1" s="112" t="s">
        <v>3</v>
      </c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9"/>
      <c r="AC1" s="113" t="s">
        <v>4</v>
      </c>
      <c r="AD1" s="113"/>
      <c r="AE1" s="113"/>
      <c r="AF1" s="113"/>
      <c r="AG1" s="113"/>
      <c r="AH1" s="113"/>
      <c r="AI1" s="10"/>
      <c r="AJ1" s="10"/>
      <c r="AK1" s="10"/>
      <c r="AL1" s="10"/>
    </row>
    <row r="2" spans="1:35" s="19" customFormat="1" ht="35.25" customHeight="1">
      <c r="A2" s="96" t="s">
        <v>5</v>
      </c>
      <c r="B2" s="71" t="s">
        <v>6</v>
      </c>
      <c r="C2" s="73" t="s">
        <v>7</v>
      </c>
      <c r="D2" s="114" t="str">
        <f>IF(D35="","Bitte zuerst die 5 Mannschaftsnamen unten ab Zeile 35 eingeben","Spielpaarung")</f>
        <v>Spielpaarung</v>
      </c>
      <c r="E2" s="114"/>
      <c r="F2" s="114"/>
      <c r="G2" s="115" t="s">
        <v>8</v>
      </c>
      <c r="H2" s="116"/>
      <c r="I2" s="116" t="s">
        <v>9</v>
      </c>
      <c r="J2" s="117"/>
      <c r="K2" s="12"/>
      <c r="L2" s="118" t="s">
        <v>10</v>
      </c>
      <c r="M2" s="118"/>
      <c r="N2" s="12"/>
      <c r="O2" s="13" t="s">
        <v>11</v>
      </c>
      <c r="P2" s="13" t="s">
        <v>12</v>
      </c>
      <c r="Q2" s="13" t="s">
        <v>13</v>
      </c>
      <c r="R2" s="14" t="s">
        <v>14</v>
      </c>
      <c r="S2" s="15" t="s">
        <v>15</v>
      </c>
      <c r="T2" s="13" t="s">
        <v>10</v>
      </c>
      <c r="U2" s="14" t="s">
        <v>16</v>
      </c>
      <c r="V2" s="15" t="s">
        <v>17</v>
      </c>
      <c r="W2" s="13" t="s">
        <v>18</v>
      </c>
      <c r="X2" s="15" t="s">
        <v>19</v>
      </c>
      <c r="Y2" s="15" t="s">
        <v>20</v>
      </c>
      <c r="Z2" s="13" t="s">
        <v>21</v>
      </c>
      <c r="AA2" s="16" t="s">
        <v>22</v>
      </c>
      <c r="AB2" s="17"/>
      <c r="AC2" s="18" t="s">
        <v>11</v>
      </c>
      <c r="AD2" s="18" t="s">
        <v>12</v>
      </c>
      <c r="AE2" s="18" t="s">
        <v>13</v>
      </c>
      <c r="AF2" s="18" t="s">
        <v>10</v>
      </c>
      <c r="AG2" s="18" t="s">
        <v>18</v>
      </c>
      <c r="AH2" s="18" t="s">
        <v>21</v>
      </c>
      <c r="AI2" s="10"/>
    </row>
    <row r="3" spans="1:35" ht="12.75" customHeight="1">
      <c r="A3" s="98">
        <v>1</v>
      </c>
      <c r="B3" s="74" t="s">
        <v>23</v>
      </c>
      <c r="C3" s="85">
        <v>43724</v>
      </c>
      <c r="D3" s="76" t="str">
        <f>D35</f>
        <v>FSB Hildesheim I</v>
      </c>
      <c r="E3" s="77" t="s">
        <v>24</v>
      </c>
      <c r="F3" s="76" t="str">
        <f>D36</f>
        <v>TSV Brunkensen I</v>
      </c>
      <c r="G3" s="86">
        <v>3</v>
      </c>
      <c r="H3" s="92">
        <v>1</v>
      </c>
      <c r="I3" s="93">
        <v>98</v>
      </c>
      <c r="J3" s="86">
        <v>77</v>
      </c>
      <c r="K3" s="87"/>
      <c r="L3" s="20">
        <f>IF($G3+$H3&lt;&gt;4,"",IF($G3&gt;$H3,2,IF($G3=$H3,1,0)))</f>
        <v>2</v>
      </c>
      <c r="M3" s="21">
        <f>IF($G3+$H3&lt;&gt;4,"",2-$L3)</f>
        <v>0</v>
      </c>
      <c r="N3" s="22">
        <f aca="true" t="shared" si="0" ref="N3:N31">IF(AND(G3&lt;&gt;"",H3&lt;&gt;"",G3+H3&lt;&gt;4),"!!!","")</f>
      </c>
      <c r="O3" s="23">
        <f>RANK(AA3,$AA$3:$AA$7)</f>
        <v>1</v>
      </c>
      <c r="P3" s="24" t="str">
        <f>D35</f>
        <v>FSB Hildesheim I</v>
      </c>
      <c r="Q3" s="23">
        <f>(R3+S3)/2</f>
        <v>7</v>
      </c>
      <c r="R3" s="25">
        <f>SUMIF($D$3:$D$31,$P3,$L$3:$L$31)+SUMIF($F$3:$F$31,$P3,$M$3:$M$31)</f>
        <v>10</v>
      </c>
      <c r="S3" s="26">
        <f>SUMIF($D$3:$D$31,$P3,$M$3:$M$31)+SUMIF($F$3:$F$31,$P3,$L$3:$L$31)</f>
        <v>4</v>
      </c>
      <c r="T3" s="23" t="str">
        <f>R3&amp;" : "&amp;S3</f>
        <v>10 : 4</v>
      </c>
      <c r="U3" s="25">
        <f>SUMIF($D$3:$D$31,$P3,$G$3:$G$31)+SUMIF($F$3:$F$31,$P3,$H$3:$H$31)</f>
        <v>17</v>
      </c>
      <c r="V3" s="26">
        <f>SUMIF($D$3:$D$31,$P3,$H$3:$H$31)+SUMIF($F$3:$F$31,$P3,$G$3:$G$31)</f>
        <v>11</v>
      </c>
      <c r="W3" s="23" t="str">
        <f>U3&amp;" : "&amp;V3</f>
        <v>17 : 11</v>
      </c>
      <c r="X3" s="25">
        <f>SUMIF($D$3:$D$31,$P3,$I$3:$I$31)+SUMIF($F$3:$F$31,$P3,$J$3:$J$31)</f>
        <v>627</v>
      </c>
      <c r="Y3" s="26">
        <f>SUMIF($D$3:$D$31,$P3,$J$3:$J$31)+SUMIF($F$3:$F$31,$P3,$I$3:$I$31)</f>
        <v>582</v>
      </c>
      <c r="Z3" s="23" t="str">
        <f>X3&amp;" : "&amp;Y3</f>
        <v>627 : 582</v>
      </c>
      <c r="AA3" s="27">
        <f>R3*1000000000+(R3-S3)*10000000+(U3-V3)*10000+(X3-Y3)-ROW(P3)/100</f>
        <v>10060060044.97</v>
      </c>
      <c r="AB3" s="17"/>
      <c r="AC3" s="28">
        <v>1</v>
      </c>
      <c r="AD3" s="29" t="str">
        <f>VLOOKUP($AC3,$O$3:$P$7,2,FALSE)</f>
        <v>FSB Hildesheim I</v>
      </c>
      <c r="AE3" s="28">
        <f>VLOOKUP($AC3,$O$3:$Z$7,3,FALSE)</f>
        <v>7</v>
      </c>
      <c r="AF3" s="28" t="str">
        <f>VLOOKUP($AC3,$O$3:$Z$7,6,FALSE)</f>
        <v>10 : 4</v>
      </c>
      <c r="AG3" s="28" t="str">
        <f>VLOOKUP($AC3,$O$3:$Z$7,9,FALSE)</f>
        <v>17 : 11</v>
      </c>
      <c r="AH3" s="28" t="str">
        <f>VLOOKUP($AC3,$O$3:$Z$7,12,FALSE)</f>
        <v>627 : 582</v>
      </c>
      <c r="AI3"/>
    </row>
    <row r="4" spans="1:35" ht="12.75" customHeight="1">
      <c r="A4" s="98">
        <v>2</v>
      </c>
      <c r="B4" s="74" t="s">
        <v>25</v>
      </c>
      <c r="C4" s="85">
        <v>43725</v>
      </c>
      <c r="D4" s="76" t="str">
        <f>D37</f>
        <v>VFV Hildesheim</v>
      </c>
      <c r="E4" s="77" t="s">
        <v>24</v>
      </c>
      <c r="F4" s="76" t="str">
        <f>D38</f>
        <v>SSG Algermissen I</v>
      </c>
      <c r="G4" s="86">
        <v>1</v>
      </c>
      <c r="H4" s="92">
        <v>3</v>
      </c>
      <c r="I4" s="93">
        <v>88</v>
      </c>
      <c r="J4" s="86">
        <v>87</v>
      </c>
      <c r="K4" s="88"/>
      <c r="L4" s="20">
        <f>IF($G4+$H4&lt;&gt;4,"",IF($G4&gt;$H4,2,IF($G4=$H4,1,0)))</f>
        <v>0</v>
      </c>
      <c r="M4" s="21">
        <f>IF($G4+$H4&lt;&gt;4,"",2-$L4)</f>
        <v>2</v>
      </c>
      <c r="N4" s="22">
        <f t="shared" si="0"/>
      </c>
      <c r="O4" s="23">
        <f>RANK(AA4,$AA$3:$AA$7)</f>
        <v>3</v>
      </c>
      <c r="P4" s="24" t="str">
        <f>D36</f>
        <v>TSV Brunkensen I</v>
      </c>
      <c r="Q4" s="23">
        <f>(R4+S4)/2</f>
        <v>6</v>
      </c>
      <c r="R4" s="25">
        <f>SUMIF($D$3:$D$31,$P4,$L$3:$L$31)+SUMIF($F$3:$F$31,$P4,$M$3:$M$31)</f>
        <v>7</v>
      </c>
      <c r="S4" s="26">
        <f>SUMIF($D$3:$D$31,$P4,$M$3:$M$31)+SUMIF($F$3:$F$31,$P4,$L$3:$L$31)</f>
        <v>5</v>
      </c>
      <c r="T4" s="23" t="str">
        <f>R4&amp;" : "&amp;S4</f>
        <v>7 : 5</v>
      </c>
      <c r="U4" s="25">
        <f>SUMIF($D$3:$D$31,$P4,$G$3:$G$31)+SUMIF($F$3:$F$31,$P4,$H$3:$H$31)</f>
        <v>13</v>
      </c>
      <c r="V4" s="26">
        <f>SUMIF($D$3:$D$31,$P4,$H$3:$H$31)+SUMIF($F$3:$F$31,$P4,$G$3:$G$31)</f>
        <v>11</v>
      </c>
      <c r="W4" s="23" t="str">
        <f>U4&amp;" : "&amp;V4</f>
        <v>13 : 11</v>
      </c>
      <c r="X4" s="25">
        <f>SUMIF($D$3:$D$31,$P4,$I$3:$I$31)+SUMIF($F$3:$F$31,$P4,$J$3:$J$31)</f>
        <v>477</v>
      </c>
      <c r="Y4" s="26">
        <f>SUMIF($D$3:$D$31,$P4,$J$3:$J$31)+SUMIF($F$3:$F$31,$P4,$I$3:$I$31)</f>
        <v>519</v>
      </c>
      <c r="Z4" s="23" t="str">
        <f>X4&amp;" : "&amp;Y4</f>
        <v>477 : 519</v>
      </c>
      <c r="AA4" s="27">
        <f>R4*1000000000+(R4-S4)*10000000+(U4-V4)*10000+(X4-Y4)-ROW(P4)/100</f>
        <v>7020019957.96</v>
      </c>
      <c r="AB4" s="17"/>
      <c r="AC4" s="28">
        <v>2</v>
      </c>
      <c r="AD4" s="29" t="str">
        <f>VLOOKUP($AC4,$O$3:$Z$7,2,FALSE)</f>
        <v>SSG Algermissen I</v>
      </c>
      <c r="AE4" s="28">
        <f>VLOOKUP($AC4,$O$3:$Z$7,3,FALSE)</f>
        <v>5</v>
      </c>
      <c r="AF4" s="28" t="str">
        <f>VLOOKUP($AC4,$O$3:$Z$7,6,FALSE)</f>
        <v>9 : 1</v>
      </c>
      <c r="AG4" s="28" t="str">
        <f>VLOOKUP($AC4,$O$3:$Z$7,9,FALSE)</f>
        <v>17 : 3</v>
      </c>
      <c r="AH4" s="28" t="str">
        <f>VLOOKUP($AC4,$O$3:$Z$7,12,FALSE)</f>
        <v>477 : 362</v>
      </c>
      <c r="AI4"/>
    </row>
    <row r="5" spans="1:35" ht="12.75" customHeight="1">
      <c r="A5" s="99"/>
      <c r="B5" s="79"/>
      <c r="C5" s="89"/>
      <c r="D5" s="81"/>
      <c r="E5" s="81"/>
      <c r="F5" s="81"/>
      <c r="G5" s="90"/>
      <c r="H5" s="94"/>
      <c r="I5" s="95"/>
      <c r="J5" s="90"/>
      <c r="K5" s="91"/>
      <c r="L5" s="30"/>
      <c r="M5" s="31"/>
      <c r="N5" s="33"/>
      <c r="O5" s="23">
        <f>RANK(AA5,$AA$3:$AA$7)</f>
        <v>4</v>
      </c>
      <c r="P5" s="24" t="str">
        <f>D37</f>
        <v>VFV Hildesheim</v>
      </c>
      <c r="Q5" s="23">
        <f>(R5+S5)/2</f>
        <v>7</v>
      </c>
      <c r="R5" s="25">
        <f>SUMIF($D$3:$D$31,$P5,$L$3:$L$31)+SUMIF($F$3:$F$31,$P5,$M$3:$M$31)</f>
        <v>4</v>
      </c>
      <c r="S5" s="26">
        <f>SUMIF($D$3:$D$31,$P5,$M$3:$M$31)+SUMIF($F$3:$F$31,$P5,$L$3:$L$31)</f>
        <v>10</v>
      </c>
      <c r="T5" s="23" t="str">
        <f>R5&amp;" : "&amp;S5</f>
        <v>4 : 10</v>
      </c>
      <c r="U5" s="25">
        <f>SUMIF($D$3:$D$31,$P5,$G$3:$G$31)+SUMIF($F$3:$F$31,$P5,$H$3:$H$31)</f>
        <v>11</v>
      </c>
      <c r="V5" s="26">
        <f>SUMIF($D$3:$D$31,$P5,$H$3:$H$31)+SUMIF($F$3:$F$31,$P5,$G$3:$G$31)</f>
        <v>17</v>
      </c>
      <c r="W5" s="23" t="str">
        <f>U5&amp;" : "&amp;V5</f>
        <v>11 : 17</v>
      </c>
      <c r="X5" s="25">
        <f>SUMIF($D$3:$D$31,$P5,$I$3:$I$31)+SUMIF($F$3:$F$31,$P5,$J$3:$J$31)</f>
        <v>616</v>
      </c>
      <c r="Y5" s="26">
        <f>SUMIF($D$3:$D$31,$P5,$J$3:$J$31)+SUMIF($F$3:$F$31,$P5,$I$3:$I$31)</f>
        <v>630</v>
      </c>
      <c r="Z5" s="23" t="str">
        <f>X5&amp;" : "&amp;Y5</f>
        <v>616 : 630</v>
      </c>
      <c r="AA5" s="27">
        <f>R5*1000000000+(R5-S5)*10000000+(U5-V5)*10000+(X5-Y5)-ROW(P5)/100</f>
        <v>3939939985.95</v>
      </c>
      <c r="AB5" s="17"/>
      <c r="AC5" s="28">
        <v>3</v>
      </c>
      <c r="AD5" s="29" t="str">
        <f>VLOOKUP($AC5,$O$3:$Z$7,2,FALSE)</f>
        <v>TSV Brunkensen I</v>
      </c>
      <c r="AE5" s="28">
        <f>VLOOKUP($AC5,$O$3:$Z$7,3,FALSE)</f>
        <v>6</v>
      </c>
      <c r="AF5" s="28" t="str">
        <f>VLOOKUP($AC5,$O$3:$Z$7,6,FALSE)</f>
        <v>7 : 5</v>
      </c>
      <c r="AG5" s="28" t="str">
        <f>VLOOKUP($AC5,$O$3:$Z$7,9,FALSE)</f>
        <v>13 : 11</v>
      </c>
      <c r="AH5" s="28" t="str">
        <f>VLOOKUP($AC5,$O$3:$Z$7,12,FALSE)</f>
        <v>477 : 519</v>
      </c>
      <c r="AI5"/>
    </row>
    <row r="6" spans="1:35" ht="12.75" customHeight="1">
      <c r="A6" s="98">
        <v>3</v>
      </c>
      <c r="B6" s="74" t="s">
        <v>26</v>
      </c>
      <c r="C6" s="85">
        <v>43775</v>
      </c>
      <c r="D6" s="76" t="str">
        <f>D39</f>
        <v>DJK B-W Hildesheim</v>
      </c>
      <c r="E6" s="77" t="s">
        <v>24</v>
      </c>
      <c r="F6" s="76" t="str">
        <f>D35</f>
        <v>FSB Hildesheim I</v>
      </c>
      <c r="G6" s="86">
        <v>0</v>
      </c>
      <c r="H6" s="92">
        <v>4</v>
      </c>
      <c r="I6" s="93">
        <v>77</v>
      </c>
      <c r="J6" s="86">
        <v>100</v>
      </c>
      <c r="K6" s="87"/>
      <c r="L6" s="20">
        <f>IF($G6+$H6&lt;&gt;4,"",IF($G6&gt;$H6,2,IF($G6=$H6,1,0)))</f>
        <v>0</v>
      </c>
      <c r="M6" s="21">
        <f>IF($G6+$H6&lt;&gt;4,"",2-$L6)</f>
        <v>2</v>
      </c>
      <c r="N6" s="22">
        <f t="shared" si="0"/>
      </c>
      <c r="O6" s="23">
        <f>RANK(AA6,$AA$3:$AA$7)</f>
        <v>2</v>
      </c>
      <c r="P6" s="24" t="str">
        <f>D38</f>
        <v>SSG Algermissen I</v>
      </c>
      <c r="Q6" s="23">
        <f>(R6+S6)/2</f>
        <v>5</v>
      </c>
      <c r="R6" s="25">
        <f>SUMIF($D$3:$D$31,$P6,$L$3:$L$31)+SUMIF($F$3:$F$31,$P6,$M$3:$M$31)</f>
        <v>9</v>
      </c>
      <c r="S6" s="26">
        <f>SUMIF($D$3:$D$31,$P6,$M$3:$M$31)+SUMIF($F$3:$F$31,$P6,$L$3:$L$31)</f>
        <v>1</v>
      </c>
      <c r="T6" s="23" t="str">
        <f>R6&amp;" : "&amp;S6</f>
        <v>9 : 1</v>
      </c>
      <c r="U6" s="25">
        <f>SUMIF($D$3:$D$31,$P6,$G$3:$G$31)+SUMIF($F$3:$F$31,$P6,$H$3:$H$31)</f>
        <v>17</v>
      </c>
      <c r="V6" s="26">
        <f>SUMIF($D$3:$D$31,$P6,$H$3:$H$31)+SUMIF($F$3:$F$31,$P6,$G$3:$G$31)</f>
        <v>3</v>
      </c>
      <c r="W6" s="23" t="str">
        <f>U6&amp;" : "&amp;V6</f>
        <v>17 : 3</v>
      </c>
      <c r="X6" s="25">
        <f>SUMIF($D$3:$D$31,$P6,$I$3:$I$31)+SUMIF($F$3:$F$31,$P6,$J$3:$J$31)</f>
        <v>477</v>
      </c>
      <c r="Y6" s="26">
        <f>SUMIF($D$3:$D$31,$P6,$J$3:$J$31)+SUMIF($F$3:$F$31,$P6,$I$3:$I$31)</f>
        <v>362</v>
      </c>
      <c r="Z6" s="23" t="str">
        <f>X6&amp;" : "&amp;Y6</f>
        <v>477 : 362</v>
      </c>
      <c r="AA6" s="27">
        <f>R6*1000000000+(R6-S6)*10000000+(U6-V6)*10000+(X6-Y6)-ROW(P6)/100</f>
        <v>9080140114.94</v>
      </c>
      <c r="AB6" s="17"/>
      <c r="AC6" s="28">
        <v>4</v>
      </c>
      <c r="AD6" s="29" t="str">
        <f>VLOOKUP($AC6,$O$3:$Z$7,2,FALSE)</f>
        <v>VFV Hildesheim</v>
      </c>
      <c r="AE6" s="28">
        <f>VLOOKUP($AC6,$O$3:$Z$7,3,FALSE)</f>
        <v>7</v>
      </c>
      <c r="AF6" s="28" t="str">
        <f>VLOOKUP($AC6,$O$3:$Z$7,6,FALSE)</f>
        <v>4 : 10</v>
      </c>
      <c r="AG6" s="28" t="str">
        <f>VLOOKUP($AC6,$O$3:$Z$7,9,FALSE)</f>
        <v>11 : 17</v>
      </c>
      <c r="AH6" s="28" t="str">
        <f>VLOOKUP($AC6,$O$3:$Z$7,12,FALSE)</f>
        <v>616 : 630</v>
      </c>
      <c r="AI6"/>
    </row>
    <row r="7" spans="1:35" ht="12.75" customHeight="1">
      <c r="A7" s="98">
        <v>4</v>
      </c>
      <c r="B7" s="74" t="s">
        <v>27</v>
      </c>
      <c r="C7" s="85">
        <v>43776</v>
      </c>
      <c r="D7" s="76" t="str">
        <f>D36</f>
        <v>TSV Brunkensen I</v>
      </c>
      <c r="E7" s="77" t="s">
        <v>24</v>
      </c>
      <c r="F7" s="76" t="str">
        <f>D37</f>
        <v>VFV Hildesheim</v>
      </c>
      <c r="G7" s="86">
        <v>2</v>
      </c>
      <c r="H7" s="92">
        <v>2</v>
      </c>
      <c r="I7" s="93">
        <v>89</v>
      </c>
      <c r="J7" s="86">
        <v>93</v>
      </c>
      <c r="K7" s="88"/>
      <c r="L7" s="20">
        <f>IF($G7+$H7&lt;&gt;4,"",IF($G7&gt;$H7,2,IF($G7=$H7,1,0)))</f>
        <v>1</v>
      </c>
      <c r="M7" s="21">
        <f>IF($G7+$H7&lt;&gt;4,"",2-$L7)</f>
        <v>1</v>
      </c>
      <c r="N7" s="22">
        <f t="shared" si="0"/>
      </c>
      <c r="O7" s="23">
        <f>RANK(AA7,$AA$3:$AA$7)</f>
        <v>5</v>
      </c>
      <c r="P7" s="24" t="str">
        <f>D39</f>
        <v>DJK B-W Hildesheim</v>
      </c>
      <c r="Q7" s="23">
        <f>(R7+S7)/2</f>
        <v>5</v>
      </c>
      <c r="R7" s="25">
        <f>SUMIF($D$3:$D$31,$P7,$L$3:$L$31)+SUMIF($F$3:$F$31,$P7,$M$3:$M$31)</f>
        <v>0</v>
      </c>
      <c r="S7" s="26">
        <f>SUMIF($D$3:$D$31,$P7,$M$3:$M$31)+SUMIF($F$3:$F$31,$P7,$L$3:$L$31)</f>
        <v>10</v>
      </c>
      <c r="T7" s="23" t="str">
        <f>R7&amp;" : "&amp;S7</f>
        <v>0 : 10</v>
      </c>
      <c r="U7" s="25">
        <f>SUMIF($D$3:$D$31,$P7,$G$3:$G$31)+SUMIF($F$3:$F$31,$P7,$H$3:$H$31)</f>
        <v>2</v>
      </c>
      <c r="V7" s="26">
        <f>SUMIF($D$3:$D$31,$P7,$H$3:$H$31)+SUMIF($F$3:$F$31,$P7,$G$3:$G$31)</f>
        <v>18</v>
      </c>
      <c r="W7" s="23" t="str">
        <f>U7&amp;" : "&amp;V7</f>
        <v>2 : 18</v>
      </c>
      <c r="X7" s="25">
        <f>SUMIF($D$3:$D$31,$P7,$I$3:$I$31)+SUMIF($F$3:$F$31,$P7,$J$3:$J$31)</f>
        <v>379</v>
      </c>
      <c r="Y7" s="26">
        <f>SUMIF($D$3:$D$31,$P7,$J$3:$J$31)+SUMIF($F$3:$F$31,$P7,$I$3:$I$31)</f>
        <v>483</v>
      </c>
      <c r="Z7" s="23" t="str">
        <f>X7&amp;" : "&amp;Y7</f>
        <v>379 : 483</v>
      </c>
      <c r="AA7" s="27">
        <f>R7*1000000000+(R7-S7)*10000000+(U7-V7)*10000+(X7-Y7)-ROW(P7)/100</f>
        <v>-100160104.07</v>
      </c>
      <c r="AB7" s="17"/>
      <c r="AC7" s="28">
        <v>5</v>
      </c>
      <c r="AD7" s="29" t="str">
        <f>VLOOKUP($AC7,$O$3:$Z$7,2,FALSE)</f>
        <v>DJK B-W Hildesheim</v>
      </c>
      <c r="AE7" s="28">
        <f>VLOOKUP($AC7,$O$3:$Z$7,3,FALSE)</f>
        <v>5</v>
      </c>
      <c r="AF7" s="28" t="str">
        <f>VLOOKUP($AC7,$O$3:$Z$7,6,FALSE)</f>
        <v>0 : 10</v>
      </c>
      <c r="AG7" s="28" t="str">
        <f>VLOOKUP($AC7,$O$3:$Z$7,9,FALSE)</f>
        <v>2 : 18</v>
      </c>
      <c r="AH7" s="28" t="str">
        <f>VLOOKUP($AC7,$O$3:$Z$7,12,FALSE)</f>
        <v>379 : 483</v>
      </c>
      <c r="AI7"/>
    </row>
    <row r="8" spans="1:35" ht="12.75" customHeight="1">
      <c r="A8" s="99"/>
      <c r="B8" s="79"/>
      <c r="C8" s="89"/>
      <c r="D8" s="81"/>
      <c r="E8" s="81"/>
      <c r="F8" s="81"/>
      <c r="G8" s="90"/>
      <c r="H8" s="94"/>
      <c r="I8" s="95"/>
      <c r="J8" s="90"/>
      <c r="K8" s="91"/>
      <c r="L8" s="30"/>
      <c r="M8" s="31"/>
      <c r="N8" s="33"/>
      <c r="O8" s="3"/>
      <c r="P8" s="3"/>
      <c r="Q8" s="3"/>
      <c r="R8" s="3"/>
      <c r="S8" s="3"/>
      <c r="T8" s="3"/>
      <c r="U8" s="3"/>
      <c r="V8" s="3"/>
      <c r="W8" s="3"/>
      <c r="X8" s="17"/>
      <c r="Y8" s="17"/>
      <c r="Z8" s="17"/>
      <c r="AA8" s="17"/>
      <c r="AB8" s="17"/>
      <c r="AC8" s="34"/>
      <c r="AI8"/>
    </row>
    <row r="9" spans="1:34" ht="12.75" customHeight="1">
      <c r="A9" s="98">
        <v>5</v>
      </c>
      <c r="B9" s="74" t="s">
        <v>23</v>
      </c>
      <c r="C9" s="85">
        <v>43794</v>
      </c>
      <c r="D9" s="76" t="str">
        <f>D35</f>
        <v>FSB Hildesheim I</v>
      </c>
      <c r="E9" s="77" t="s">
        <v>24</v>
      </c>
      <c r="F9" s="76" t="str">
        <f>D37</f>
        <v>VFV Hildesheim</v>
      </c>
      <c r="G9" s="86">
        <v>3</v>
      </c>
      <c r="H9" s="92">
        <v>1</v>
      </c>
      <c r="I9" s="93">
        <v>102</v>
      </c>
      <c r="J9" s="86">
        <v>85</v>
      </c>
      <c r="K9" s="87"/>
      <c r="L9" s="20">
        <f>IF($G9+$H9&lt;&gt;4,"",IF($G9&gt;$H9,2,IF($G9=$H9,1,0)))</f>
        <v>2</v>
      </c>
      <c r="M9" s="21">
        <f>IF($G9+$H9&lt;&gt;4,"",2-$L9)</f>
        <v>0</v>
      </c>
      <c r="N9" s="22">
        <f t="shared" si="0"/>
      </c>
      <c r="O9" s="3"/>
      <c r="P9" s="3"/>
      <c r="Q9" s="3"/>
      <c r="R9" s="3"/>
      <c r="S9" s="3"/>
      <c r="T9" s="3"/>
      <c r="U9" s="3"/>
      <c r="V9" s="3"/>
      <c r="W9" s="3"/>
      <c r="X9" s="17"/>
      <c r="Y9" s="17"/>
      <c r="Z9" s="17"/>
      <c r="AA9" s="17"/>
      <c r="AB9" s="17"/>
      <c r="AC9" s="35" t="s">
        <v>28</v>
      </c>
      <c r="AD9" s="34"/>
      <c r="AE9" s="34"/>
      <c r="AF9" s="36">
        <f>SUM(R$3:S7)/2</f>
        <v>30</v>
      </c>
      <c r="AG9" s="36">
        <f>SUM(U$3:V7)/2</f>
        <v>60</v>
      </c>
      <c r="AH9" s="36">
        <f>SUM(X$3:Y7)/2</f>
        <v>2576</v>
      </c>
    </row>
    <row r="10" spans="1:29" ht="12.75" customHeight="1">
      <c r="A10" s="98">
        <v>6</v>
      </c>
      <c r="B10" s="74" t="s">
        <v>27</v>
      </c>
      <c r="C10" s="85">
        <v>43797</v>
      </c>
      <c r="D10" s="76" t="str">
        <f>D38</f>
        <v>SSG Algermissen I</v>
      </c>
      <c r="E10" s="77" t="s">
        <v>24</v>
      </c>
      <c r="F10" s="76" t="str">
        <f>D39</f>
        <v>DJK B-W Hildesheim</v>
      </c>
      <c r="G10" s="86"/>
      <c r="H10" s="92"/>
      <c r="I10" s="93"/>
      <c r="J10" s="86"/>
      <c r="K10" s="88"/>
      <c r="L10" s="20">
        <f>IF($G10+$H10&lt;&gt;4,"",IF($G10&gt;$H10,2,IF($G10=$H10,1,0)))</f>
      </c>
      <c r="M10" s="21">
        <f>IF($G10+$H10&lt;&gt;4,"",2-$L10)</f>
      </c>
      <c r="N10" s="22">
        <f t="shared" si="0"/>
      </c>
      <c r="O10" s="3"/>
      <c r="P10" s="3"/>
      <c r="Q10" s="3"/>
      <c r="R10" s="3"/>
      <c r="S10" s="3"/>
      <c r="T10" s="3"/>
      <c r="U10" s="3"/>
      <c r="V10" s="3"/>
      <c r="W10" s="3"/>
      <c r="X10" s="17"/>
      <c r="Y10" s="17"/>
      <c r="Z10" s="17"/>
      <c r="AA10" s="17"/>
      <c r="AB10" s="17"/>
      <c r="AC10" s="34"/>
    </row>
    <row r="11" spans="1:28" ht="12.75" customHeight="1">
      <c r="A11" s="99"/>
      <c r="B11" s="79"/>
      <c r="C11" s="89"/>
      <c r="D11" s="81"/>
      <c r="E11" s="81"/>
      <c r="F11" s="81"/>
      <c r="G11" s="90"/>
      <c r="H11" s="94"/>
      <c r="I11" s="95"/>
      <c r="J11" s="90"/>
      <c r="K11" s="91"/>
      <c r="L11" s="30"/>
      <c r="M11" s="31"/>
      <c r="N11" s="33"/>
      <c r="O11" s="3"/>
      <c r="P11" s="3"/>
      <c r="Q11" s="3"/>
      <c r="R11" s="3"/>
      <c r="S11" s="3"/>
      <c r="T11" s="3"/>
      <c r="U11" s="3"/>
      <c r="V11" s="3"/>
      <c r="W11" s="3"/>
      <c r="X11" s="17"/>
      <c r="Y11" s="17"/>
      <c r="Z11" s="17"/>
      <c r="AA11" s="17"/>
      <c r="AB11" s="17"/>
    </row>
    <row r="12" spans="1:28" ht="12.75" customHeight="1">
      <c r="A12" s="98">
        <v>7</v>
      </c>
      <c r="B12" s="74" t="s">
        <v>27</v>
      </c>
      <c r="C12" s="85">
        <v>43881</v>
      </c>
      <c r="D12" s="76" t="str">
        <f>D36</f>
        <v>TSV Brunkensen I</v>
      </c>
      <c r="E12" s="77" t="s">
        <v>24</v>
      </c>
      <c r="F12" s="76" t="str">
        <f>D38</f>
        <v>SSG Algermissen I</v>
      </c>
      <c r="G12" s="86">
        <v>0</v>
      </c>
      <c r="H12" s="92">
        <v>4</v>
      </c>
      <c r="I12" s="93">
        <v>35</v>
      </c>
      <c r="J12" s="86">
        <v>100</v>
      </c>
      <c r="K12" s="87"/>
      <c r="L12" s="20">
        <f>IF($G12+$H12&lt;&gt;4,"",IF($G12&gt;$H12,2,IF($G12=$H12,1,0)))</f>
        <v>0</v>
      </c>
      <c r="M12" s="21">
        <f>IF($G12+$H12&lt;&gt;4,"",2-$L12)</f>
        <v>2</v>
      </c>
      <c r="N12" s="22">
        <f t="shared" si="0"/>
      </c>
      <c r="O12" s="3"/>
      <c r="P12" s="3"/>
      <c r="Q12" s="3"/>
      <c r="R12" s="3"/>
      <c r="S12" s="3"/>
      <c r="T12" s="3"/>
      <c r="U12" s="3"/>
      <c r="V12" s="3"/>
      <c r="W12" s="3"/>
      <c r="X12" s="17"/>
      <c r="Y12" s="17"/>
      <c r="Z12" s="17"/>
      <c r="AA12" s="17"/>
      <c r="AB12" s="17"/>
    </row>
    <row r="13" spans="1:28" ht="12.75" customHeight="1">
      <c r="A13" s="98">
        <v>8</v>
      </c>
      <c r="B13" s="74" t="s">
        <v>25</v>
      </c>
      <c r="C13" s="85">
        <v>43816</v>
      </c>
      <c r="D13" s="76" t="str">
        <f>D37</f>
        <v>VFV Hildesheim</v>
      </c>
      <c r="E13" s="77" t="s">
        <v>24</v>
      </c>
      <c r="F13" s="76" t="str">
        <f>D39</f>
        <v>DJK B-W Hildesheim</v>
      </c>
      <c r="G13" s="86">
        <v>4</v>
      </c>
      <c r="H13" s="92">
        <v>0</v>
      </c>
      <c r="I13" s="93">
        <v>101</v>
      </c>
      <c r="J13" s="86">
        <v>68</v>
      </c>
      <c r="K13" s="88"/>
      <c r="L13" s="20">
        <f>IF($G13+$H13&lt;&gt;4,"",IF($G13&gt;$H13,2,IF($G13=$H13,1,0)))</f>
        <v>2</v>
      </c>
      <c r="M13" s="21">
        <f>IF($G13+$H13&lt;&gt;4,"",2-$L13)</f>
        <v>0</v>
      </c>
      <c r="N13" s="22">
        <f t="shared" si="0"/>
      </c>
      <c r="O13" s="3"/>
      <c r="P13" s="3"/>
      <c r="Q13" s="3"/>
      <c r="R13" s="3"/>
      <c r="S13" s="3"/>
      <c r="T13" s="3"/>
      <c r="U13" s="3"/>
      <c r="V13" s="3"/>
      <c r="W13" s="3"/>
      <c r="X13" s="17"/>
      <c r="Y13" s="17"/>
      <c r="Z13" s="17"/>
      <c r="AA13" s="17"/>
      <c r="AB13" s="17"/>
    </row>
    <row r="14" spans="1:28" ht="12.75" customHeight="1">
      <c r="A14" s="99"/>
      <c r="B14" s="79"/>
      <c r="C14" s="89"/>
      <c r="D14" s="81"/>
      <c r="E14" s="81"/>
      <c r="F14" s="81"/>
      <c r="G14" s="90"/>
      <c r="H14" s="94"/>
      <c r="I14" s="95"/>
      <c r="J14" s="90"/>
      <c r="K14" s="91"/>
      <c r="L14" s="30"/>
      <c r="M14" s="31"/>
      <c r="N14" s="33"/>
      <c r="O14" s="3"/>
      <c r="P14" s="3"/>
      <c r="Q14" s="3"/>
      <c r="R14" s="3"/>
      <c r="S14" s="3"/>
      <c r="T14" s="3"/>
      <c r="U14" s="3"/>
      <c r="V14" s="3"/>
      <c r="W14" s="3"/>
      <c r="X14" s="17"/>
      <c r="Y14" s="17"/>
      <c r="Z14" s="17"/>
      <c r="AA14" s="17"/>
      <c r="AB14" s="17"/>
    </row>
    <row r="15" spans="1:28" ht="12.75" customHeight="1">
      <c r="A15" s="98">
        <v>9</v>
      </c>
      <c r="B15" s="74" t="s">
        <v>26</v>
      </c>
      <c r="C15" s="85">
        <v>43845</v>
      </c>
      <c r="D15" s="76" t="str">
        <f>D39</f>
        <v>DJK B-W Hildesheim</v>
      </c>
      <c r="E15" s="77" t="s">
        <v>24</v>
      </c>
      <c r="F15" s="76" t="str">
        <f>D36</f>
        <v>TSV Brunkensen I</v>
      </c>
      <c r="G15" s="86">
        <v>1</v>
      </c>
      <c r="H15" s="92">
        <v>3</v>
      </c>
      <c r="I15" s="93">
        <v>79</v>
      </c>
      <c r="J15" s="86">
        <v>85</v>
      </c>
      <c r="K15" s="87"/>
      <c r="L15" s="20">
        <f>IF($G15+$H15&lt;&gt;4,"",IF($G15&gt;$H15,2,IF($G15=$H15,1,0)))</f>
        <v>0</v>
      </c>
      <c r="M15" s="21">
        <f>IF($G15+$H15&lt;&gt;4,"",2-$L15)</f>
        <v>2</v>
      </c>
      <c r="N15" s="22">
        <f t="shared" si="0"/>
      </c>
      <c r="O15" s="3"/>
      <c r="P15" s="3"/>
      <c r="Q15" s="3"/>
      <c r="R15" s="3"/>
      <c r="S15" s="3"/>
      <c r="T15" s="3"/>
      <c r="U15" s="3"/>
      <c r="V15" s="3"/>
      <c r="W15" s="3"/>
      <c r="X15" s="17"/>
      <c r="Y15" s="17"/>
      <c r="Z15" s="17"/>
      <c r="AA15" s="17"/>
      <c r="AB15" s="17"/>
    </row>
    <row r="16" spans="1:28" ht="12.75" customHeight="1">
      <c r="A16" s="98">
        <v>10</v>
      </c>
      <c r="B16" s="74" t="s">
        <v>27</v>
      </c>
      <c r="C16" s="85">
        <v>43846</v>
      </c>
      <c r="D16" s="76" t="str">
        <f>D38</f>
        <v>SSG Algermissen I</v>
      </c>
      <c r="E16" s="77" t="s">
        <v>24</v>
      </c>
      <c r="F16" s="76" t="str">
        <f>D35</f>
        <v>FSB Hildesheim I</v>
      </c>
      <c r="G16" s="86">
        <v>2</v>
      </c>
      <c r="H16" s="92">
        <v>2</v>
      </c>
      <c r="I16" s="93">
        <v>89</v>
      </c>
      <c r="J16" s="86">
        <v>78</v>
      </c>
      <c r="K16" s="88"/>
      <c r="L16" s="20">
        <f>IF($G16+$H16&lt;&gt;4,"",IF($G16&gt;$H16,2,IF($G16=$H16,1,0)))</f>
        <v>1</v>
      </c>
      <c r="M16" s="21">
        <f>IF($G16+$H16&lt;&gt;4,"",2-$L16)</f>
        <v>1</v>
      </c>
      <c r="N16" s="22">
        <f t="shared" si="0"/>
      </c>
      <c r="O16" s="3"/>
      <c r="P16" s="3"/>
      <c r="Q16" s="3"/>
      <c r="R16" s="3"/>
      <c r="S16" s="3"/>
      <c r="T16" s="3"/>
      <c r="U16" s="3"/>
      <c r="V16" s="3"/>
      <c r="W16" s="3"/>
      <c r="X16" s="17"/>
      <c r="Y16" s="17"/>
      <c r="Z16" s="17"/>
      <c r="AA16" s="17"/>
      <c r="AB16" s="17"/>
    </row>
    <row r="17" spans="1:28" ht="12.75" customHeight="1">
      <c r="A17" s="99"/>
      <c r="B17" s="79"/>
      <c r="C17" s="89"/>
      <c r="D17" s="81"/>
      <c r="E17" s="81"/>
      <c r="F17" s="81"/>
      <c r="G17" s="90"/>
      <c r="H17" s="94"/>
      <c r="I17" s="95"/>
      <c r="J17" s="90"/>
      <c r="K17" s="91"/>
      <c r="L17" s="30"/>
      <c r="M17" s="31"/>
      <c r="N17" s="33"/>
      <c r="O17" s="3"/>
      <c r="P17" s="3"/>
      <c r="Q17" s="3"/>
      <c r="R17" s="3"/>
      <c r="S17" s="3"/>
      <c r="T17" s="3"/>
      <c r="U17" s="3"/>
      <c r="V17" s="3"/>
      <c r="W17" s="3"/>
      <c r="X17" s="17"/>
      <c r="Y17" s="17"/>
      <c r="Z17" s="17"/>
      <c r="AA17" s="17"/>
      <c r="AB17" s="17"/>
    </row>
    <row r="18" spans="1:28" ht="12.75" customHeight="1">
      <c r="A18" s="98">
        <v>11</v>
      </c>
      <c r="B18" s="74" t="s">
        <v>27</v>
      </c>
      <c r="C18" s="85">
        <v>43860</v>
      </c>
      <c r="D18" s="76" t="str">
        <f>F3</f>
        <v>TSV Brunkensen I</v>
      </c>
      <c r="E18" s="77" t="s">
        <v>24</v>
      </c>
      <c r="F18" s="76" t="str">
        <f>D3</f>
        <v>FSB Hildesheim I</v>
      </c>
      <c r="G18" s="86">
        <v>4</v>
      </c>
      <c r="H18" s="92">
        <v>0</v>
      </c>
      <c r="I18" s="93">
        <v>100</v>
      </c>
      <c r="J18" s="86">
        <v>60</v>
      </c>
      <c r="K18" s="87"/>
      <c r="L18" s="20">
        <f>IF($G18+$H18&lt;&gt;4,"",IF($G18&gt;$H18,2,IF($G18=$H18,1,0)))</f>
        <v>2</v>
      </c>
      <c r="M18" s="21">
        <f>IF($G18+$H18&lt;&gt;4,"",2-$L18)</f>
        <v>0</v>
      </c>
      <c r="N18" s="22">
        <f t="shared" si="0"/>
      </c>
      <c r="O18" s="3"/>
      <c r="P18" s="3"/>
      <c r="Q18" s="3"/>
      <c r="R18" s="3"/>
      <c r="S18" s="3"/>
      <c r="T18" s="3"/>
      <c r="U18" s="3"/>
      <c r="V18" s="3"/>
      <c r="W18" s="3"/>
      <c r="X18" s="17"/>
      <c r="Y18" s="17"/>
      <c r="Z18" s="17"/>
      <c r="AA18" s="17"/>
      <c r="AB18" s="17"/>
    </row>
    <row r="19" spans="1:28" ht="12.75" customHeight="1">
      <c r="A19" s="98">
        <v>12</v>
      </c>
      <c r="B19" s="74" t="s">
        <v>27</v>
      </c>
      <c r="C19" s="85">
        <v>43860</v>
      </c>
      <c r="D19" s="76" t="str">
        <f>F4</f>
        <v>SSG Algermissen I</v>
      </c>
      <c r="E19" s="77" t="s">
        <v>24</v>
      </c>
      <c r="F19" s="76" t="str">
        <f>D4</f>
        <v>VFV Hildesheim</v>
      </c>
      <c r="G19" s="86">
        <v>4</v>
      </c>
      <c r="H19" s="92">
        <v>0</v>
      </c>
      <c r="I19" s="93">
        <v>101</v>
      </c>
      <c r="J19" s="86">
        <v>77</v>
      </c>
      <c r="K19" s="88"/>
      <c r="L19" s="20">
        <f>IF($G19+$H19&lt;&gt;4,"",IF($G19&gt;$H19,2,IF($G19=$H19,1,0)))</f>
        <v>2</v>
      </c>
      <c r="M19" s="21">
        <f>IF($G19+$H19&lt;&gt;4,"",2-$L19)</f>
        <v>0</v>
      </c>
      <c r="N19" s="22">
        <f t="shared" si="0"/>
      </c>
      <c r="O19" s="3"/>
      <c r="P19" s="3"/>
      <c r="Q19" s="3"/>
      <c r="R19" s="3"/>
      <c r="S19" s="3"/>
      <c r="T19" s="3"/>
      <c r="U19" s="3"/>
      <c r="V19" s="3"/>
      <c r="W19" s="3"/>
      <c r="X19" s="17"/>
      <c r="Y19" s="17"/>
      <c r="Z19" s="17"/>
      <c r="AA19" s="17"/>
      <c r="AB19" s="17"/>
    </row>
    <row r="20" spans="1:28" ht="12.75" customHeight="1">
      <c r="A20" s="99"/>
      <c r="B20" s="79"/>
      <c r="C20" s="89"/>
      <c r="D20" s="81"/>
      <c r="E20" s="81"/>
      <c r="F20" s="81"/>
      <c r="G20" s="90"/>
      <c r="H20" s="94"/>
      <c r="I20" s="95"/>
      <c r="J20" s="90"/>
      <c r="K20" s="91"/>
      <c r="L20" s="30"/>
      <c r="M20" s="31"/>
      <c r="N20" s="33"/>
      <c r="O20" s="3"/>
      <c r="P20" s="3"/>
      <c r="Q20" s="3"/>
      <c r="R20" s="3"/>
      <c r="S20" s="3"/>
      <c r="T20" s="3"/>
      <c r="U20" s="3"/>
      <c r="V20" s="3"/>
      <c r="W20" s="3"/>
      <c r="X20" s="17"/>
      <c r="Y20" s="17"/>
      <c r="Z20" s="17"/>
      <c r="AA20" s="17"/>
      <c r="AB20" s="17"/>
    </row>
    <row r="21" spans="1:14" ht="12.75" customHeight="1">
      <c r="A21" s="98">
        <v>13</v>
      </c>
      <c r="B21" s="74" t="s">
        <v>23</v>
      </c>
      <c r="C21" s="85">
        <v>43871</v>
      </c>
      <c r="D21" s="76" t="str">
        <f>F6</f>
        <v>FSB Hildesheim I</v>
      </c>
      <c r="E21" s="77" t="s">
        <v>24</v>
      </c>
      <c r="F21" s="76" t="str">
        <f>D6</f>
        <v>DJK B-W Hildesheim</v>
      </c>
      <c r="G21" s="86">
        <v>3</v>
      </c>
      <c r="H21" s="92">
        <v>1</v>
      </c>
      <c r="I21" s="93">
        <v>97</v>
      </c>
      <c r="J21" s="86">
        <v>71</v>
      </c>
      <c r="K21" s="87"/>
      <c r="L21" s="20">
        <f>IF($G21+$H21&lt;&gt;4,"",IF($G21&gt;$H21,2,IF($G21=$H21,1,0)))</f>
        <v>2</v>
      </c>
      <c r="M21" s="21">
        <f>IF($G21+$H21&lt;&gt;4,"",2-$L21)</f>
        <v>0</v>
      </c>
      <c r="N21" s="22">
        <f t="shared" si="0"/>
      </c>
    </row>
    <row r="22" spans="1:34" ht="12.75" customHeight="1">
      <c r="A22" s="98">
        <v>14</v>
      </c>
      <c r="B22" s="74" t="s">
        <v>25</v>
      </c>
      <c r="C22" s="85">
        <v>43872</v>
      </c>
      <c r="D22" s="76" t="str">
        <f>F7</f>
        <v>VFV Hildesheim</v>
      </c>
      <c r="E22" s="77" t="s">
        <v>24</v>
      </c>
      <c r="F22" s="76" t="str">
        <f>D7</f>
        <v>TSV Brunkensen I</v>
      </c>
      <c r="G22" s="86">
        <v>1</v>
      </c>
      <c r="H22" s="92">
        <v>3</v>
      </c>
      <c r="I22" s="93">
        <v>89</v>
      </c>
      <c r="J22" s="86">
        <v>91</v>
      </c>
      <c r="K22" s="88"/>
      <c r="L22" s="20">
        <f>IF($G22+$H22&lt;&gt;4,"",IF($G22&gt;$H22,2,IF($G22=$H22,1,0)))</f>
        <v>0</v>
      </c>
      <c r="M22" s="21">
        <f>IF($G22+$H22&lt;&gt;4,"",2-$L22)</f>
        <v>2</v>
      </c>
      <c r="N22" s="22">
        <f t="shared" si="0"/>
      </c>
      <c r="O22" s="37"/>
      <c r="P22" s="37"/>
      <c r="Q22" s="37"/>
      <c r="R22" s="37"/>
      <c r="S22" s="37"/>
      <c r="T22" s="37"/>
      <c r="U22" s="37"/>
      <c r="V22" s="37"/>
      <c r="W22" s="37"/>
      <c r="X22" s="38"/>
      <c r="Y22" s="38"/>
      <c r="Z22" s="38"/>
      <c r="AA22" s="38"/>
      <c r="AB22" s="38"/>
      <c r="AC22" s="39"/>
      <c r="AD22" s="39"/>
      <c r="AE22" s="39"/>
      <c r="AF22" s="39"/>
      <c r="AG22" s="39"/>
      <c r="AH22" s="39"/>
    </row>
    <row r="23" spans="1:14" ht="12.75" customHeight="1">
      <c r="A23" s="99"/>
      <c r="B23" s="79"/>
      <c r="C23" s="89"/>
      <c r="D23" s="81"/>
      <c r="E23" s="81"/>
      <c r="F23" s="81"/>
      <c r="G23" s="90"/>
      <c r="H23" s="94"/>
      <c r="I23" s="95"/>
      <c r="J23" s="90"/>
      <c r="K23" s="91"/>
      <c r="L23" s="30"/>
      <c r="M23" s="31"/>
      <c r="N23" s="33"/>
    </row>
    <row r="24" spans="1:14" ht="12.75" customHeight="1">
      <c r="A24" s="98">
        <v>15</v>
      </c>
      <c r="B24" s="74" t="s">
        <v>25</v>
      </c>
      <c r="C24" s="85">
        <v>43893</v>
      </c>
      <c r="D24" s="76" t="str">
        <f>F9</f>
        <v>VFV Hildesheim</v>
      </c>
      <c r="E24" s="77" t="s">
        <v>24</v>
      </c>
      <c r="F24" s="76" t="str">
        <f>D9</f>
        <v>FSB Hildesheim I</v>
      </c>
      <c r="G24" s="86">
        <v>2</v>
      </c>
      <c r="H24" s="92">
        <v>2</v>
      </c>
      <c r="I24" s="93">
        <v>83</v>
      </c>
      <c r="J24" s="86">
        <v>92</v>
      </c>
      <c r="K24" s="87"/>
      <c r="L24" s="20">
        <f>IF($G24+$H24&lt;&gt;4,"",IF($G24&gt;$H24,2,IF($G24=$H24,1,0)))</f>
        <v>1</v>
      </c>
      <c r="M24" s="21">
        <f>IF($G24+$H24&lt;&gt;4,"",2-$L24)</f>
        <v>1</v>
      </c>
      <c r="N24" s="22">
        <f t="shared" si="0"/>
      </c>
    </row>
    <row r="25" spans="1:14" ht="12.75" customHeight="1">
      <c r="A25" s="98">
        <v>16</v>
      </c>
      <c r="B25" s="74" t="s">
        <v>26</v>
      </c>
      <c r="C25" s="85">
        <v>43894</v>
      </c>
      <c r="D25" s="76" t="str">
        <f>F10</f>
        <v>DJK B-W Hildesheim</v>
      </c>
      <c r="E25" s="77" t="s">
        <v>24</v>
      </c>
      <c r="F25" s="76" t="str">
        <f>D10</f>
        <v>SSG Algermissen I</v>
      </c>
      <c r="G25" s="86">
        <v>0</v>
      </c>
      <c r="H25" s="92">
        <v>4</v>
      </c>
      <c r="I25" s="93">
        <v>84</v>
      </c>
      <c r="J25" s="86">
        <v>100</v>
      </c>
      <c r="K25" s="88"/>
      <c r="L25" s="20">
        <f>IF($G25+$H25&lt;&gt;4,"",IF($G25&gt;$H25,2,IF($G25=$H25,1,0)))</f>
        <v>0</v>
      </c>
      <c r="M25" s="21">
        <f>IF($G25+$H25&lt;&gt;4,"",2-$L25)</f>
        <v>2</v>
      </c>
      <c r="N25" s="22">
        <f t="shared" si="0"/>
      </c>
    </row>
    <row r="26" spans="1:14" ht="12.75" customHeight="1">
      <c r="A26" s="99"/>
      <c r="B26" s="83"/>
      <c r="C26" s="81"/>
      <c r="D26" s="81"/>
      <c r="E26" s="81"/>
      <c r="F26" s="81"/>
      <c r="G26" s="90"/>
      <c r="H26" s="94"/>
      <c r="I26" s="95"/>
      <c r="J26" s="90"/>
      <c r="K26" s="91"/>
      <c r="L26" s="30"/>
      <c r="M26" s="31"/>
      <c r="N26" s="33"/>
    </row>
    <row r="27" spans="1:14" ht="12.75" customHeight="1">
      <c r="A27" s="98">
        <v>17</v>
      </c>
      <c r="B27" s="74" t="s">
        <v>27</v>
      </c>
      <c r="C27" s="85">
        <v>43965</v>
      </c>
      <c r="D27" s="76" t="str">
        <f>F12</f>
        <v>SSG Algermissen I</v>
      </c>
      <c r="E27" s="77" t="s">
        <v>24</v>
      </c>
      <c r="F27" s="76" t="str">
        <f>D12</f>
        <v>TSV Brunkensen I</v>
      </c>
      <c r="G27" s="86"/>
      <c r="H27" s="92"/>
      <c r="I27" s="93"/>
      <c r="J27" s="86"/>
      <c r="K27" s="87"/>
      <c r="L27" s="20">
        <f>IF($G27+$H27&lt;&gt;4,"",IF($G27&gt;$H27,2,IF($G27=$H27,1,0)))</f>
      </c>
      <c r="M27" s="21">
        <f>IF($G27+$H27&lt;&gt;4,"",2-$L27)</f>
      </c>
      <c r="N27" s="22">
        <f t="shared" si="0"/>
      </c>
    </row>
    <row r="28" spans="1:14" ht="12.75" customHeight="1">
      <c r="A28" s="98">
        <v>18</v>
      </c>
      <c r="B28" s="74" t="s">
        <v>26</v>
      </c>
      <c r="C28" s="85">
        <v>43964</v>
      </c>
      <c r="D28" s="76" t="str">
        <f>F13</f>
        <v>DJK B-W Hildesheim</v>
      </c>
      <c r="E28" s="77" t="s">
        <v>24</v>
      </c>
      <c r="F28" s="76" t="str">
        <f>D13</f>
        <v>VFV Hildesheim</v>
      </c>
      <c r="G28" s="86"/>
      <c r="H28" s="92"/>
      <c r="I28" s="93"/>
      <c r="J28" s="86"/>
      <c r="K28" s="88"/>
      <c r="L28" s="20">
        <f>IF($G28+$H28&lt;&gt;4,"",IF($G28&gt;$H28,2,IF($G28=$H28,1,0)))</f>
      </c>
      <c r="M28" s="21">
        <f>IF($G28+$H28&lt;&gt;4,"",2-$L28)</f>
      </c>
      <c r="N28" s="22">
        <f t="shared" si="0"/>
      </c>
    </row>
    <row r="29" spans="1:14" ht="12.75" customHeight="1">
      <c r="A29" s="99"/>
      <c r="B29" s="79"/>
      <c r="C29" s="89"/>
      <c r="D29" s="81"/>
      <c r="E29" s="81"/>
      <c r="F29" s="81"/>
      <c r="G29" s="90"/>
      <c r="H29" s="94"/>
      <c r="I29" s="95"/>
      <c r="J29" s="90"/>
      <c r="K29" s="91"/>
      <c r="L29" s="30"/>
      <c r="M29" s="31"/>
      <c r="N29" s="33"/>
    </row>
    <row r="30" spans="1:14" ht="12.75" customHeight="1">
      <c r="A30" s="98">
        <v>19</v>
      </c>
      <c r="B30" s="74" t="s">
        <v>27</v>
      </c>
      <c r="C30" s="85">
        <v>43951</v>
      </c>
      <c r="D30" s="76" t="str">
        <f>F15</f>
        <v>TSV Brunkensen I</v>
      </c>
      <c r="E30" s="77" t="s">
        <v>24</v>
      </c>
      <c r="F30" s="76" t="str">
        <f>D15</f>
        <v>DJK B-W Hildesheim</v>
      </c>
      <c r="G30" s="86"/>
      <c r="H30" s="92"/>
      <c r="I30" s="93"/>
      <c r="J30" s="86"/>
      <c r="K30" s="87"/>
      <c r="L30" s="20">
        <f>IF($G30+$H30&lt;&gt;4,"",IF($G30&gt;$H30,2,IF($G30=$H30,1,0)))</f>
      </c>
      <c r="M30" s="21">
        <f>IF($G30+$H30&lt;&gt;4,"",2-$L30)</f>
      </c>
      <c r="N30" s="22">
        <f t="shared" si="0"/>
      </c>
    </row>
    <row r="31" spans="1:14" ht="12.75" customHeight="1">
      <c r="A31" s="98">
        <v>20</v>
      </c>
      <c r="B31" s="74" t="s">
        <v>23</v>
      </c>
      <c r="C31" s="85">
        <v>43948</v>
      </c>
      <c r="D31" s="76" t="str">
        <f>F16</f>
        <v>FSB Hildesheim I</v>
      </c>
      <c r="E31" s="77" t="s">
        <v>24</v>
      </c>
      <c r="F31" s="76" t="str">
        <f>D16</f>
        <v>SSG Algermissen I</v>
      </c>
      <c r="G31" s="86"/>
      <c r="H31" s="92"/>
      <c r="I31" s="93"/>
      <c r="J31" s="86"/>
      <c r="K31" s="88"/>
      <c r="L31" s="20">
        <f>IF($G31+$H31&lt;&gt;4,"",IF($G31&gt;$H31,2,IF($G31=$H31,1,0)))</f>
      </c>
      <c r="M31" s="21">
        <f>IF($G31+$H31&lt;&gt;4,"",2-$L31)</f>
      </c>
      <c r="N31" s="22">
        <f t="shared" si="0"/>
      </c>
    </row>
    <row r="32" spans="1:13" ht="12.75" customHeight="1">
      <c r="A32" s="40"/>
      <c r="B32" s="40"/>
      <c r="C32" s="67"/>
      <c r="D32" s="42"/>
      <c r="E32" s="43"/>
      <c r="F32" s="44"/>
      <c r="L32" s="3"/>
      <c r="M32" s="3"/>
    </row>
    <row r="33" spans="1:35" s="49" customFormat="1" ht="12.75" customHeight="1">
      <c r="A33" s="36" t="s">
        <v>28</v>
      </c>
      <c r="B33" s="45"/>
      <c r="C33" s="46"/>
      <c r="D33" s="46"/>
      <c r="E33" s="47"/>
      <c r="F33" s="46"/>
      <c r="G33" s="107">
        <f>SUM(G3:H32)</f>
        <v>60</v>
      </c>
      <c r="H33" s="107"/>
      <c r="I33" s="107">
        <f>SUM(I3:J32)</f>
        <v>2576</v>
      </c>
      <c r="J33" s="107"/>
      <c r="K33" s="48"/>
      <c r="L33" s="107">
        <f>SUM(L3:M32)</f>
        <v>30</v>
      </c>
      <c r="M33" s="107"/>
      <c r="N33" s="38"/>
      <c r="O33" s="4"/>
      <c r="P33" s="4"/>
      <c r="Q33" s="4"/>
      <c r="R33" s="4"/>
      <c r="S33" s="4"/>
      <c r="T33" s="4"/>
      <c r="U33" s="4"/>
      <c r="V33" s="4"/>
      <c r="W33" s="4"/>
      <c r="X33" s="5"/>
      <c r="Y33" s="5"/>
      <c r="Z33" s="5"/>
      <c r="AA33" s="5"/>
      <c r="AB33" s="5"/>
      <c r="AC33" s="6"/>
      <c r="AD33" s="6"/>
      <c r="AE33" s="6"/>
      <c r="AF33" s="6"/>
      <c r="AG33" s="6"/>
      <c r="AH33" s="6"/>
      <c r="AI33" s="39"/>
    </row>
    <row r="34" spans="4:6" ht="12.75">
      <c r="D34" s="44"/>
      <c r="E34" s="43"/>
      <c r="F34" s="44"/>
    </row>
    <row r="35" spans="1:34" ht="12.75">
      <c r="A35" s="100" t="s">
        <v>29</v>
      </c>
      <c r="B35" s="50"/>
      <c r="C35" s="68"/>
      <c r="D35" s="52" t="s">
        <v>30</v>
      </c>
      <c r="E35" s="43"/>
      <c r="F35" s="44"/>
      <c r="AD35" s="53" t="s">
        <v>31</v>
      </c>
      <c r="AE35" s="54"/>
      <c r="AF35" s="54"/>
      <c r="AG35" s="54"/>
      <c r="AH35" s="55"/>
    </row>
    <row r="36" spans="1:34" ht="12.75">
      <c r="A36" s="56"/>
      <c r="B36" s="56"/>
      <c r="C36" s="69"/>
      <c r="D36" s="52" t="s">
        <v>32</v>
      </c>
      <c r="E36" s="43"/>
      <c r="F36" s="44"/>
      <c r="AD36" s="58" t="s">
        <v>33</v>
      </c>
      <c r="AE36" s="59"/>
      <c r="AF36" s="59"/>
      <c r="AG36" s="59"/>
      <c r="AH36" s="60"/>
    </row>
    <row r="37" spans="1:34" ht="12.75">
      <c r="A37" s="61"/>
      <c r="B37" s="61"/>
      <c r="C37" s="70"/>
      <c r="D37" s="52" t="s">
        <v>34</v>
      </c>
      <c r="E37" s="43"/>
      <c r="F37" s="44"/>
      <c r="AD37" s="58" t="s">
        <v>35</v>
      </c>
      <c r="AE37" s="59"/>
      <c r="AF37" s="59"/>
      <c r="AG37" s="59"/>
      <c r="AH37" s="60"/>
    </row>
    <row r="38" spans="1:34" ht="12.75">
      <c r="A38" s="61"/>
      <c r="B38" s="61"/>
      <c r="C38" s="70"/>
      <c r="D38" s="52" t="s">
        <v>36</v>
      </c>
      <c r="E38" s="43"/>
      <c r="F38" s="44"/>
      <c r="AD38" s="58" t="s">
        <v>37</v>
      </c>
      <c r="AE38" s="59"/>
      <c r="AF38" s="59"/>
      <c r="AG38" s="59"/>
      <c r="AH38" s="60"/>
    </row>
    <row r="39" spans="4:34" ht="12.75">
      <c r="D39" s="52" t="s">
        <v>63</v>
      </c>
      <c r="E39" s="43"/>
      <c r="F39" s="44"/>
      <c r="AD39" s="63" t="s">
        <v>38</v>
      </c>
      <c r="AE39" s="64"/>
      <c r="AF39" s="64"/>
      <c r="AG39" s="64"/>
      <c r="AH39" s="65"/>
    </row>
  </sheetData>
  <sheetProtection selectLockedCells="1" selectUnlockedCells="1"/>
  <mergeCells count="12">
    <mergeCell ref="O1:AA1"/>
    <mergeCell ref="AC1:AH1"/>
    <mergeCell ref="D2:F2"/>
    <mergeCell ref="G2:H2"/>
    <mergeCell ref="I2:J2"/>
    <mergeCell ref="L2:M2"/>
    <mergeCell ref="G33:H33"/>
    <mergeCell ref="I33:J33"/>
    <mergeCell ref="L33:M33"/>
    <mergeCell ref="A1:F1"/>
    <mergeCell ref="G1:J1"/>
    <mergeCell ref="L1:M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7">
      <selection activeCell="C29" sqref="C29"/>
    </sheetView>
  </sheetViews>
  <sheetFormatPr defaultColWidth="11.421875" defaultRowHeight="12.75"/>
  <cols>
    <col min="1" max="1" width="4.7109375" style="1" customWidth="1"/>
    <col min="2" max="2" width="3.7109375" style="1" customWidth="1"/>
    <col min="3" max="3" width="10.57421875" style="1" customWidth="1"/>
    <col min="4" max="4" width="20.7109375" style="1" customWidth="1"/>
    <col min="5" max="5" width="2.00390625" style="2" customWidth="1"/>
    <col min="6" max="6" width="20.7109375" style="1" customWidth="1"/>
    <col min="7" max="8" width="4.7109375" style="3" customWidth="1"/>
    <col min="9" max="10" width="6.00390625" style="4" customWidth="1"/>
    <col min="11" max="11" width="0.71875" style="4" customWidth="1"/>
    <col min="12" max="13" width="5.8515625" style="4" customWidth="1"/>
    <col min="14" max="14" width="3.7109375" style="5" customWidth="1"/>
    <col min="15" max="15" width="5.140625" style="4" hidden="1" customWidth="1"/>
    <col min="16" max="16" width="20.7109375" style="4" hidden="1" customWidth="1"/>
    <col min="17" max="17" width="5.8515625" style="4" hidden="1" customWidth="1"/>
    <col min="18" max="23" width="5.57421875" style="4" hidden="1" customWidth="1"/>
    <col min="24" max="26" width="5.57421875" style="5" hidden="1" customWidth="1"/>
    <col min="27" max="27" width="9.57421875" style="5" hidden="1" customWidth="1"/>
    <col min="28" max="28" width="1.57421875" style="5" customWidth="1"/>
    <col min="29" max="29" width="5.421875" style="6" customWidth="1"/>
    <col min="30" max="30" width="20.57421875" style="6" customWidth="1"/>
    <col min="31" max="31" width="5.8515625" style="6" customWidth="1"/>
    <col min="32" max="34" width="8.421875" style="6" customWidth="1"/>
    <col min="35" max="35" width="11.421875" style="6" customWidth="1"/>
  </cols>
  <sheetData>
    <row r="1" spans="1:38" s="11" customFormat="1" ht="21" customHeight="1">
      <c r="A1" s="108" t="s">
        <v>39</v>
      </c>
      <c r="B1" s="109"/>
      <c r="C1" s="109"/>
      <c r="D1" s="109"/>
      <c r="E1" s="109"/>
      <c r="F1" s="109"/>
      <c r="G1" s="110" t="s">
        <v>1</v>
      </c>
      <c r="H1" s="110"/>
      <c r="I1" s="110"/>
      <c r="J1" s="110"/>
      <c r="K1" s="7"/>
      <c r="L1" s="111" t="s">
        <v>2</v>
      </c>
      <c r="M1" s="111"/>
      <c r="N1" s="8"/>
      <c r="O1" s="112" t="s">
        <v>3</v>
      </c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9"/>
      <c r="AC1" s="113" t="s">
        <v>4</v>
      </c>
      <c r="AD1" s="113"/>
      <c r="AE1" s="113"/>
      <c r="AF1" s="113"/>
      <c r="AG1" s="113"/>
      <c r="AH1" s="113"/>
      <c r="AI1" s="10"/>
      <c r="AJ1" s="10"/>
      <c r="AK1" s="10"/>
      <c r="AL1" s="10"/>
    </row>
    <row r="2" spans="1:35" s="19" customFormat="1" ht="35.25" customHeight="1">
      <c r="A2" s="96" t="s">
        <v>5</v>
      </c>
      <c r="B2" s="71" t="s">
        <v>6</v>
      </c>
      <c r="C2" s="73" t="s">
        <v>7</v>
      </c>
      <c r="D2" s="114" t="str">
        <f>IF(D35="","Bitte zuerst die 5 Mannschaftsnamen unten ab Zeile 35 eingeben","Spielpaarung")</f>
        <v>Spielpaarung</v>
      </c>
      <c r="E2" s="114"/>
      <c r="F2" s="114"/>
      <c r="G2" s="115" t="s">
        <v>8</v>
      </c>
      <c r="H2" s="116"/>
      <c r="I2" s="116" t="s">
        <v>9</v>
      </c>
      <c r="J2" s="117"/>
      <c r="K2" s="12"/>
      <c r="L2" s="118" t="s">
        <v>10</v>
      </c>
      <c r="M2" s="118"/>
      <c r="N2" s="12"/>
      <c r="O2" s="13" t="s">
        <v>11</v>
      </c>
      <c r="P2" s="13" t="s">
        <v>12</v>
      </c>
      <c r="Q2" s="13" t="s">
        <v>13</v>
      </c>
      <c r="R2" s="14" t="s">
        <v>14</v>
      </c>
      <c r="S2" s="15" t="s">
        <v>15</v>
      </c>
      <c r="T2" s="13" t="s">
        <v>10</v>
      </c>
      <c r="U2" s="14" t="s">
        <v>16</v>
      </c>
      <c r="V2" s="15" t="s">
        <v>17</v>
      </c>
      <c r="W2" s="13" t="s">
        <v>18</v>
      </c>
      <c r="X2" s="15" t="s">
        <v>19</v>
      </c>
      <c r="Y2" s="15" t="s">
        <v>20</v>
      </c>
      <c r="Z2" s="13" t="s">
        <v>21</v>
      </c>
      <c r="AA2" s="16" t="s">
        <v>22</v>
      </c>
      <c r="AB2" s="17"/>
      <c r="AC2" s="18" t="s">
        <v>11</v>
      </c>
      <c r="AD2" s="18" t="s">
        <v>12</v>
      </c>
      <c r="AE2" s="18" t="s">
        <v>13</v>
      </c>
      <c r="AF2" s="18" t="s">
        <v>10</v>
      </c>
      <c r="AG2" s="18" t="s">
        <v>18</v>
      </c>
      <c r="AH2" s="18" t="s">
        <v>21</v>
      </c>
      <c r="AI2" s="10"/>
    </row>
    <row r="3" spans="1:35" ht="12.75" customHeight="1">
      <c r="A3" s="98">
        <v>1</v>
      </c>
      <c r="B3" s="74" t="s">
        <v>23</v>
      </c>
      <c r="C3" s="85">
        <v>43780</v>
      </c>
      <c r="D3" s="76" t="str">
        <f>D35</f>
        <v>VSG Röss/Nordst</v>
      </c>
      <c r="E3" s="77" t="s">
        <v>24</v>
      </c>
      <c r="F3" s="76" t="str">
        <f>D36</f>
        <v>SV Groß Düngen</v>
      </c>
      <c r="G3" s="86">
        <v>1</v>
      </c>
      <c r="H3" s="92">
        <v>3</v>
      </c>
      <c r="I3" s="93">
        <v>85</v>
      </c>
      <c r="J3" s="86">
        <v>93</v>
      </c>
      <c r="K3" s="87"/>
      <c r="L3" s="20">
        <f>IF($G3+$H3&lt;&gt;4,"",IF($G3&gt;$H3,2,IF($G3=$H3,1,0)))</f>
        <v>0</v>
      </c>
      <c r="M3" s="21">
        <f>IF($G3+$H3&lt;&gt;4,"",2-$L3)</f>
        <v>2</v>
      </c>
      <c r="N3" s="22">
        <f aca="true" t="shared" si="0" ref="N3:N31">IF(AND(G3&lt;&gt;"",H3&lt;&gt;"",G3+H3&lt;&gt;4),"!!!","")</f>
      </c>
      <c r="O3" s="23">
        <f>RANK(AA3,$AA$3:$AA$7)</f>
        <v>3</v>
      </c>
      <c r="P3" s="24" t="str">
        <f>D35</f>
        <v>VSG Röss/Nordst</v>
      </c>
      <c r="Q3" s="23">
        <f>(R3+S3)/2</f>
        <v>5</v>
      </c>
      <c r="R3" s="25">
        <f>SUMIF($D$3:$D$31,$P3,$L$3:$L$31)+SUMIF($F$3:$F$31,$P3,$M$3:$M$31)</f>
        <v>4</v>
      </c>
      <c r="S3" s="26">
        <f>SUMIF($D$3:$D$31,$P3,$M$3:$M$31)+SUMIF($F$3:$F$31,$P3,$L$3:$L$31)</f>
        <v>6</v>
      </c>
      <c r="T3" s="23" t="str">
        <f>R3&amp;" : "&amp;S3</f>
        <v>4 : 6</v>
      </c>
      <c r="U3" s="25">
        <f>SUMIF($D$3:$D$31,$P3,$G$3:$G$31)+SUMIF($F$3:$F$31,$P3,$H$3:$H$31)</f>
        <v>10</v>
      </c>
      <c r="V3" s="26">
        <f>SUMIF($D$3:$D$31,$P3,$H$3:$H$31)+SUMIF($F$3:$F$31,$P3,$G$3:$G$31)</f>
        <v>10</v>
      </c>
      <c r="W3" s="23" t="str">
        <f>U3&amp;" : "&amp;V3</f>
        <v>10 : 10</v>
      </c>
      <c r="X3" s="25">
        <f>SUMIF($D$3:$D$31,$P3,$I$3:$I$31)+SUMIF($F$3:$F$31,$P3,$J$3:$J$31)</f>
        <v>441</v>
      </c>
      <c r="Y3" s="26">
        <f>SUMIF($D$3:$D$31,$P3,$J$3:$J$31)+SUMIF($F$3:$F$31,$P3,$I$3:$I$31)</f>
        <v>441</v>
      </c>
      <c r="Z3" s="23" t="str">
        <f>X3&amp;" : "&amp;Y3</f>
        <v>441 : 441</v>
      </c>
      <c r="AA3" s="27">
        <f>R3*1000000000+(R3-S3)*10000000+(U3-V3)*10000+(X3-Y3)-ROW(P3)/100</f>
        <v>3979999999.97</v>
      </c>
      <c r="AB3" s="17"/>
      <c r="AC3" s="28">
        <v>1</v>
      </c>
      <c r="AD3" s="29" t="str">
        <f>VLOOKUP($AC3,$O$3:$P$7,2,FALSE)</f>
        <v>SV Groß Düngen</v>
      </c>
      <c r="AE3" s="28">
        <f>VLOOKUP($AC3,$O$3:$Z$7,3,FALSE)</f>
        <v>6</v>
      </c>
      <c r="AF3" s="28" t="str">
        <f>VLOOKUP($AC3,$O$3:$Z$7,6,FALSE)</f>
        <v>10 : 2</v>
      </c>
      <c r="AG3" s="28" t="str">
        <f>VLOOKUP($AC3,$O$3:$Z$7,9,FALSE)</f>
        <v>18 : 6</v>
      </c>
      <c r="AH3" s="28" t="str">
        <f>VLOOKUP($AC3,$O$3:$Z$7,12,FALSE)</f>
        <v>575 : 468</v>
      </c>
      <c r="AI3"/>
    </row>
    <row r="4" spans="1:35" ht="12.75" customHeight="1">
      <c r="A4" s="98">
        <v>2</v>
      </c>
      <c r="B4" s="74" t="s">
        <v>23</v>
      </c>
      <c r="C4" s="85">
        <v>43731</v>
      </c>
      <c r="D4" s="76" t="str">
        <f>D37</f>
        <v>FSB Hildesheim II</v>
      </c>
      <c r="E4" s="77" t="s">
        <v>24</v>
      </c>
      <c r="F4" s="76" t="str">
        <f>D38</f>
        <v>SSG Algermissen II</v>
      </c>
      <c r="G4" s="86">
        <v>4</v>
      </c>
      <c r="H4" s="92">
        <v>0</v>
      </c>
      <c r="I4" s="93">
        <v>101</v>
      </c>
      <c r="J4" s="86">
        <v>68</v>
      </c>
      <c r="K4" s="88"/>
      <c r="L4" s="20">
        <f>IF($G4+$H4&lt;&gt;4,"",IF($G4&gt;$H4,2,IF($G4=$H4,1,0)))</f>
        <v>2</v>
      </c>
      <c r="M4" s="21">
        <f>IF($G4+$H4&lt;&gt;4,"",2-$L4)</f>
        <v>0</v>
      </c>
      <c r="N4" s="22">
        <f t="shared" si="0"/>
      </c>
      <c r="O4" s="23">
        <f>RANK(AA4,$AA$3:$AA$7)</f>
        <v>1</v>
      </c>
      <c r="P4" s="24" t="str">
        <f>D36</f>
        <v>SV Groß Düngen</v>
      </c>
      <c r="Q4" s="23">
        <f>(R4+S4)/2</f>
        <v>6</v>
      </c>
      <c r="R4" s="25">
        <f>SUMIF($D$3:$D$31,$P4,$L$3:$L$31)+SUMIF($F$3:$F$31,$P4,$M$3:$M$31)</f>
        <v>10</v>
      </c>
      <c r="S4" s="26">
        <f>SUMIF($D$3:$D$31,$P4,$M$3:$M$31)+SUMIF($F$3:$F$31,$P4,$L$3:$L$31)</f>
        <v>2</v>
      </c>
      <c r="T4" s="23" t="str">
        <f>R4&amp;" : "&amp;S4</f>
        <v>10 : 2</v>
      </c>
      <c r="U4" s="25">
        <f>SUMIF($D$3:$D$31,$P4,$G$3:$G$31)+SUMIF($F$3:$F$31,$P4,$H$3:$H$31)</f>
        <v>18</v>
      </c>
      <c r="V4" s="26">
        <f>SUMIF($D$3:$D$31,$P4,$H$3:$H$31)+SUMIF($F$3:$F$31,$P4,$G$3:$G$31)</f>
        <v>6</v>
      </c>
      <c r="W4" s="23" t="str">
        <f>U4&amp;" : "&amp;V4</f>
        <v>18 : 6</v>
      </c>
      <c r="X4" s="25">
        <f>SUMIF($D$3:$D$31,$P4,$I$3:$I$31)+SUMIF($F$3:$F$31,$P4,$J$3:$J$31)</f>
        <v>575</v>
      </c>
      <c r="Y4" s="26">
        <f>SUMIF($D$3:$D$31,$P4,$J$3:$J$31)+SUMIF($F$3:$F$31,$P4,$I$3:$I$31)</f>
        <v>468</v>
      </c>
      <c r="Z4" s="23" t="str">
        <f>X4&amp;" : "&amp;Y4</f>
        <v>575 : 468</v>
      </c>
      <c r="AA4" s="27">
        <f>R4*1000000000+(R4-S4)*10000000+(U4-V4)*10000+(X4-Y4)-ROW(P4)/100</f>
        <v>10080120106.96</v>
      </c>
      <c r="AB4" s="17"/>
      <c r="AC4" s="28">
        <v>2</v>
      </c>
      <c r="AD4" s="29" t="str">
        <f>VLOOKUP($AC4,$O$3:$Z$7,2,FALSE)</f>
        <v>FSB Hildesheim II</v>
      </c>
      <c r="AE4" s="28">
        <f>VLOOKUP($AC4,$O$3:$Z$7,3,FALSE)</f>
        <v>6</v>
      </c>
      <c r="AF4" s="28" t="str">
        <f>VLOOKUP($AC4,$O$3:$Z$7,6,FALSE)</f>
        <v>7 : 5</v>
      </c>
      <c r="AG4" s="28" t="str">
        <f>VLOOKUP($AC4,$O$3:$Z$7,9,FALSE)</f>
        <v>14 : 10</v>
      </c>
      <c r="AH4" s="28" t="str">
        <f>VLOOKUP($AC4,$O$3:$Z$7,12,FALSE)</f>
        <v>539 : 519</v>
      </c>
      <c r="AI4"/>
    </row>
    <row r="5" spans="1:35" ht="12.75" customHeight="1">
      <c r="A5" s="99"/>
      <c r="B5" s="79"/>
      <c r="C5" s="89"/>
      <c r="D5" s="81"/>
      <c r="E5" s="81"/>
      <c r="F5" s="81"/>
      <c r="G5" s="90"/>
      <c r="H5" s="94"/>
      <c r="I5" s="95"/>
      <c r="J5" s="90"/>
      <c r="K5" s="91"/>
      <c r="L5" s="30"/>
      <c r="M5" s="31"/>
      <c r="N5" s="33"/>
      <c r="O5" s="23">
        <f>RANK(AA5,$AA$3:$AA$7)</f>
        <v>2</v>
      </c>
      <c r="P5" s="24" t="str">
        <f>D37</f>
        <v>FSB Hildesheim II</v>
      </c>
      <c r="Q5" s="23">
        <f>(R5+S5)/2</f>
        <v>6</v>
      </c>
      <c r="R5" s="25">
        <f>SUMIF($D$3:$D$31,$P5,$L$3:$L$31)+SUMIF($F$3:$F$31,$P5,$M$3:$M$31)</f>
        <v>7</v>
      </c>
      <c r="S5" s="26">
        <f>SUMIF($D$3:$D$31,$P5,$M$3:$M$31)+SUMIF($F$3:$F$31,$P5,$L$3:$L$31)</f>
        <v>5</v>
      </c>
      <c r="T5" s="23" t="str">
        <f>R5&amp;" : "&amp;S5</f>
        <v>7 : 5</v>
      </c>
      <c r="U5" s="25">
        <f>SUMIF($D$3:$D$31,$P5,$G$3:$G$31)+SUMIF($F$3:$F$31,$P5,$H$3:$H$31)</f>
        <v>14</v>
      </c>
      <c r="V5" s="26">
        <f>SUMIF($D$3:$D$31,$P5,$H$3:$H$31)+SUMIF($F$3:$F$31,$P5,$G$3:$G$31)</f>
        <v>10</v>
      </c>
      <c r="W5" s="23" t="str">
        <f>U5&amp;" : "&amp;V5</f>
        <v>14 : 10</v>
      </c>
      <c r="X5" s="25">
        <f>SUMIF($D$3:$D$31,$P5,$I$3:$I$31)+SUMIF($F$3:$F$31,$P5,$J$3:$J$31)</f>
        <v>539</v>
      </c>
      <c r="Y5" s="26">
        <f>SUMIF($D$3:$D$31,$P5,$J$3:$J$31)+SUMIF($F$3:$F$31,$P5,$I$3:$I$31)</f>
        <v>519</v>
      </c>
      <c r="Z5" s="23" t="str">
        <f>X5&amp;" : "&amp;Y5</f>
        <v>539 : 519</v>
      </c>
      <c r="AA5" s="27">
        <f>R5*1000000000+(R5-S5)*10000000+(U5-V5)*10000+(X5-Y5)-ROW(P5)/100</f>
        <v>7020040019.95</v>
      </c>
      <c r="AB5" s="17"/>
      <c r="AC5" s="28">
        <v>3</v>
      </c>
      <c r="AD5" s="29" t="str">
        <f>VLOOKUP($AC5,$O$3:$Z$7,2,FALSE)</f>
        <v>VSG Röss/Nordst</v>
      </c>
      <c r="AE5" s="28">
        <f>VLOOKUP($AC5,$O$3:$Z$7,3,FALSE)</f>
        <v>5</v>
      </c>
      <c r="AF5" s="28" t="str">
        <f>VLOOKUP($AC5,$O$3:$Z$7,6,FALSE)</f>
        <v>4 : 6</v>
      </c>
      <c r="AG5" s="28" t="str">
        <f>VLOOKUP($AC5,$O$3:$Z$7,9,FALSE)</f>
        <v>10 : 10</v>
      </c>
      <c r="AH5" s="28" t="str">
        <f>VLOOKUP($AC5,$O$3:$Z$7,12,FALSE)</f>
        <v>441 : 441</v>
      </c>
      <c r="AI5"/>
    </row>
    <row r="6" spans="1:35" ht="12.75" customHeight="1">
      <c r="A6" s="98">
        <v>3</v>
      </c>
      <c r="B6" s="74" t="s">
        <v>40</v>
      </c>
      <c r="C6" s="85">
        <v>43777</v>
      </c>
      <c r="D6" s="76" t="str">
        <f>D39</f>
        <v>MTV Banteln</v>
      </c>
      <c r="E6" s="77" t="s">
        <v>24</v>
      </c>
      <c r="F6" s="76" t="str">
        <f>D35</f>
        <v>VSG Röss/Nordst</v>
      </c>
      <c r="G6" s="86">
        <v>3</v>
      </c>
      <c r="H6" s="92">
        <v>1</v>
      </c>
      <c r="I6" s="93">
        <v>90</v>
      </c>
      <c r="J6" s="86">
        <v>89</v>
      </c>
      <c r="K6" s="87"/>
      <c r="L6" s="20">
        <f>IF($G6+$H6&lt;&gt;4,"",IF($G6&gt;$H6,2,IF($G6=$H6,1,0)))</f>
        <v>2</v>
      </c>
      <c r="M6" s="21">
        <f>IF($G6+$H6&lt;&gt;4,"",2-$L6)</f>
        <v>0</v>
      </c>
      <c r="N6" s="22">
        <f t="shared" si="0"/>
      </c>
      <c r="O6" s="23">
        <f>RANK(AA6,$AA$3:$AA$7)</f>
        <v>5</v>
      </c>
      <c r="P6" s="24" t="str">
        <f>D38</f>
        <v>SSG Algermissen II</v>
      </c>
      <c r="Q6" s="23">
        <f>(R6+S6)/2</f>
        <v>4</v>
      </c>
      <c r="R6" s="25">
        <f>SUMIF($D$3:$D$31,$P6,$L$3:$L$31)+SUMIF($F$3:$F$31,$P6,$M$3:$M$31)</f>
        <v>2</v>
      </c>
      <c r="S6" s="26">
        <f>SUMIF($D$3:$D$31,$P6,$M$3:$M$31)+SUMIF($F$3:$F$31,$P6,$L$3:$L$31)</f>
        <v>6</v>
      </c>
      <c r="T6" s="23" t="str">
        <f>R6&amp;" : "&amp;S6</f>
        <v>2 : 6</v>
      </c>
      <c r="U6" s="25">
        <f>SUMIF($D$3:$D$31,$P6,$G$3:$G$31)+SUMIF($F$3:$F$31,$P6,$H$3:$H$31)</f>
        <v>4</v>
      </c>
      <c r="V6" s="26">
        <f>SUMIF($D$3:$D$31,$P6,$H$3:$H$31)+SUMIF($F$3:$F$31,$P6,$G$3:$G$31)</f>
        <v>12</v>
      </c>
      <c r="W6" s="23" t="str">
        <f>U6&amp;" : "&amp;V6</f>
        <v>4 : 12</v>
      </c>
      <c r="X6" s="25">
        <f>SUMIF($D$3:$D$31,$P6,$I$3:$I$31)+SUMIF($F$3:$F$31,$P6,$J$3:$J$31)</f>
        <v>306</v>
      </c>
      <c r="Y6" s="26">
        <f>SUMIF($D$3:$D$31,$P6,$J$3:$J$31)+SUMIF($F$3:$F$31,$P6,$I$3:$I$31)</f>
        <v>379</v>
      </c>
      <c r="Z6" s="23" t="str">
        <f>X6&amp;" : "&amp;Y6</f>
        <v>306 : 379</v>
      </c>
      <c r="AA6" s="27">
        <f>R6*1000000000+(R6-S6)*10000000+(U6-V6)*10000+(X6-Y6)-ROW(P6)/100</f>
        <v>1959919926.94</v>
      </c>
      <c r="AB6" s="17"/>
      <c r="AC6" s="28">
        <v>4</v>
      </c>
      <c r="AD6" s="29" t="str">
        <f>VLOOKUP($AC6,$O$3:$Z$7,2,FALSE)</f>
        <v>MTV Banteln</v>
      </c>
      <c r="AE6" s="28">
        <f>VLOOKUP($AC6,$O$3:$Z$7,3,FALSE)</f>
        <v>5</v>
      </c>
      <c r="AF6" s="28" t="str">
        <f>VLOOKUP($AC6,$O$3:$Z$7,6,FALSE)</f>
        <v>3 : 7</v>
      </c>
      <c r="AG6" s="28" t="str">
        <f>VLOOKUP($AC6,$O$3:$Z$7,9,FALSE)</f>
        <v>6 : 14</v>
      </c>
      <c r="AH6" s="28" t="str">
        <f>VLOOKUP($AC6,$O$3:$Z$7,12,FALSE)</f>
        <v>414 : 468</v>
      </c>
      <c r="AI6"/>
    </row>
    <row r="7" spans="1:35" ht="12.75" customHeight="1">
      <c r="A7" s="98">
        <v>4</v>
      </c>
      <c r="B7" s="74" t="s">
        <v>27</v>
      </c>
      <c r="C7" s="85">
        <v>43776</v>
      </c>
      <c r="D7" s="76" t="str">
        <f>D36</f>
        <v>SV Groß Düngen</v>
      </c>
      <c r="E7" s="77" t="s">
        <v>24</v>
      </c>
      <c r="F7" s="76" t="str">
        <f>D37</f>
        <v>FSB Hildesheim II</v>
      </c>
      <c r="G7" s="86">
        <v>3</v>
      </c>
      <c r="H7" s="92">
        <v>1</v>
      </c>
      <c r="I7" s="93">
        <v>98</v>
      </c>
      <c r="J7" s="86">
        <v>76</v>
      </c>
      <c r="K7" s="88"/>
      <c r="L7" s="20">
        <f>IF($G7+$H7&lt;&gt;4,"",IF($G7&gt;$H7,2,IF($G7=$H7,1,0)))</f>
        <v>2</v>
      </c>
      <c r="M7" s="21">
        <f>IF($G7+$H7&lt;&gt;4,"",2-$L7)</f>
        <v>0</v>
      </c>
      <c r="N7" s="22">
        <f t="shared" si="0"/>
      </c>
      <c r="O7" s="23">
        <f>RANK(AA7,$AA$3:$AA$7)</f>
        <v>4</v>
      </c>
      <c r="P7" s="24" t="str">
        <f>D39</f>
        <v>MTV Banteln</v>
      </c>
      <c r="Q7" s="23">
        <f>(R7+S7)/2</f>
        <v>5</v>
      </c>
      <c r="R7" s="25">
        <f>SUMIF($D$3:$D$31,$P7,$L$3:$L$31)+SUMIF($F$3:$F$31,$P7,$M$3:$M$31)</f>
        <v>3</v>
      </c>
      <c r="S7" s="26">
        <f>SUMIF($D$3:$D$31,$P7,$M$3:$M$31)+SUMIF($F$3:$F$31,$P7,$L$3:$L$31)</f>
        <v>7</v>
      </c>
      <c r="T7" s="23" t="str">
        <f>R7&amp;" : "&amp;S7</f>
        <v>3 : 7</v>
      </c>
      <c r="U7" s="25">
        <f>SUMIF($D$3:$D$31,$P7,$G$3:$G$31)+SUMIF($F$3:$F$31,$P7,$H$3:$H$31)</f>
        <v>6</v>
      </c>
      <c r="V7" s="26">
        <f>SUMIF($D$3:$D$31,$P7,$H$3:$H$31)+SUMIF($F$3:$F$31,$P7,$G$3:$G$31)</f>
        <v>14</v>
      </c>
      <c r="W7" s="23" t="str">
        <f>U7&amp;" : "&amp;V7</f>
        <v>6 : 14</v>
      </c>
      <c r="X7" s="25">
        <f>SUMIF($D$3:$D$31,$P7,$I$3:$I$31)+SUMIF($F$3:$F$31,$P7,$J$3:$J$31)</f>
        <v>414</v>
      </c>
      <c r="Y7" s="26">
        <f>SUMIF($D$3:$D$31,$P7,$J$3:$J$31)+SUMIF($F$3:$F$31,$P7,$I$3:$I$31)</f>
        <v>468</v>
      </c>
      <c r="Z7" s="23" t="str">
        <f>X7&amp;" : "&amp;Y7</f>
        <v>414 : 468</v>
      </c>
      <c r="AA7" s="27">
        <f>R7*1000000000+(R7-S7)*10000000+(U7-V7)*10000+(X7-Y7)-ROW(P7)/100</f>
        <v>2959919945.93</v>
      </c>
      <c r="AB7" s="17"/>
      <c r="AC7" s="28">
        <v>5</v>
      </c>
      <c r="AD7" s="29" t="str">
        <f>VLOOKUP($AC7,$O$3:$Z$7,2,FALSE)</f>
        <v>SSG Algermissen II</v>
      </c>
      <c r="AE7" s="28">
        <f>VLOOKUP($AC7,$O$3:$Z$7,3,FALSE)</f>
        <v>4</v>
      </c>
      <c r="AF7" s="28" t="str">
        <f>VLOOKUP($AC7,$O$3:$Z$7,6,FALSE)</f>
        <v>2 : 6</v>
      </c>
      <c r="AG7" s="28" t="str">
        <f>VLOOKUP($AC7,$O$3:$Z$7,9,FALSE)</f>
        <v>4 : 12</v>
      </c>
      <c r="AH7" s="28" t="str">
        <f>VLOOKUP($AC7,$O$3:$Z$7,12,FALSE)</f>
        <v>306 : 379</v>
      </c>
      <c r="AI7"/>
    </row>
    <row r="8" spans="1:35" ht="12.75" customHeight="1">
      <c r="A8" s="99"/>
      <c r="B8" s="79"/>
      <c r="C8" s="89"/>
      <c r="D8" s="81"/>
      <c r="E8" s="81"/>
      <c r="F8" s="81"/>
      <c r="G8" s="90"/>
      <c r="H8" s="94"/>
      <c r="I8" s="95"/>
      <c r="J8" s="90"/>
      <c r="K8" s="91"/>
      <c r="L8" s="30"/>
      <c r="M8" s="31"/>
      <c r="N8" s="33"/>
      <c r="O8" s="3"/>
      <c r="P8" s="3"/>
      <c r="Q8" s="3"/>
      <c r="R8" s="3"/>
      <c r="S8" s="3"/>
      <c r="T8" s="3"/>
      <c r="U8" s="3"/>
      <c r="V8" s="3"/>
      <c r="W8" s="3"/>
      <c r="X8" s="17"/>
      <c r="Y8" s="17"/>
      <c r="Z8" s="17"/>
      <c r="AA8" s="17"/>
      <c r="AB8" s="17"/>
      <c r="AC8" s="34"/>
      <c r="AI8"/>
    </row>
    <row r="9" spans="1:34" ht="12.75" customHeight="1">
      <c r="A9" s="98">
        <v>5</v>
      </c>
      <c r="B9" s="74" t="s">
        <v>23</v>
      </c>
      <c r="C9" s="85">
        <v>43906</v>
      </c>
      <c r="D9" s="76" t="str">
        <f>D35</f>
        <v>VSG Röss/Nordst</v>
      </c>
      <c r="E9" s="77" t="s">
        <v>24</v>
      </c>
      <c r="F9" s="76" t="str">
        <f>D37</f>
        <v>FSB Hildesheim II</v>
      </c>
      <c r="G9" s="86"/>
      <c r="H9" s="92"/>
      <c r="I9" s="93"/>
      <c r="J9" s="86"/>
      <c r="K9" s="87"/>
      <c r="L9" s="20">
        <f>IF($G9+$H9&lt;&gt;4,"",IF($G9&gt;$H9,2,IF($G9=$H9,1,0)))</f>
      </c>
      <c r="M9" s="21">
        <f>IF($G9+$H9&lt;&gt;4,"",2-$L9)</f>
      </c>
      <c r="N9" s="22">
        <f t="shared" si="0"/>
      </c>
      <c r="O9" s="3"/>
      <c r="P9" s="3"/>
      <c r="Q9" s="3"/>
      <c r="R9" s="3"/>
      <c r="S9" s="3"/>
      <c r="T9" s="3"/>
      <c r="U9" s="3"/>
      <c r="V9" s="3"/>
      <c r="W9" s="3"/>
      <c r="X9" s="17"/>
      <c r="Y9" s="17"/>
      <c r="Z9" s="17"/>
      <c r="AA9" s="17"/>
      <c r="AB9" s="17"/>
      <c r="AC9" s="35" t="s">
        <v>28</v>
      </c>
      <c r="AD9" s="34"/>
      <c r="AE9" s="34"/>
      <c r="AF9" s="36">
        <f>SUM(R$3:S7)/2</f>
        <v>26</v>
      </c>
      <c r="AG9" s="36">
        <f>SUM(U$3:V7)/2</f>
        <v>52</v>
      </c>
      <c r="AH9" s="36">
        <f>SUM(X$3:Y7)/2</f>
        <v>2275</v>
      </c>
    </row>
    <row r="10" spans="1:29" ht="12.75" customHeight="1">
      <c r="A10" s="98">
        <v>6</v>
      </c>
      <c r="B10" s="74" t="s">
        <v>27</v>
      </c>
      <c r="C10" s="85">
        <v>43797</v>
      </c>
      <c r="D10" s="76" t="str">
        <f>D38</f>
        <v>SSG Algermissen II</v>
      </c>
      <c r="E10" s="77" t="s">
        <v>24</v>
      </c>
      <c r="F10" s="76" t="str">
        <f>D39</f>
        <v>MTV Banteln</v>
      </c>
      <c r="G10" s="86"/>
      <c r="H10" s="92"/>
      <c r="I10" s="93"/>
      <c r="J10" s="86"/>
      <c r="K10" s="88"/>
      <c r="L10" s="20">
        <f>IF($G10+$H10&lt;&gt;4,"",IF($G10&gt;$H10,2,IF($G10=$H10,1,0)))</f>
      </c>
      <c r="M10" s="21">
        <f>IF($G10+$H10&lt;&gt;4,"",2-$L10)</f>
      </c>
      <c r="N10" s="22">
        <f t="shared" si="0"/>
      </c>
      <c r="O10" s="3"/>
      <c r="P10" s="3"/>
      <c r="Q10" s="3"/>
      <c r="R10" s="3"/>
      <c r="S10" s="3"/>
      <c r="T10" s="3"/>
      <c r="U10" s="3"/>
      <c r="V10" s="3"/>
      <c r="W10" s="3"/>
      <c r="X10" s="17"/>
      <c r="Y10" s="17"/>
      <c r="Z10" s="17"/>
      <c r="AA10" s="17"/>
      <c r="AB10" s="17"/>
      <c r="AC10" s="34"/>
    </row>
    <row r="11" spans="1:28" ht="12.75" customHeight="1">
      <c r="A11" s="99"/>
      <c r="B11" s="79"/>
      <c r="C11" s="89"/>
      <c r="D11" s="81"/>
      <c r="E11" s="81"/>
      <c r="F11" s="81"/>
      <c r="G11" s="90"/>
      <c r="H11" s="94"/>
      <c r="I11" s="95"/>
      <c r="J11" s="90"/>
      <c r="K11" s="91"/>
      <c r="L11" s="30"/>
      <c r="M11" s="31"/>
      <c r="N11" s="33"/>
      <c r="O11" s="3"/>
      <c r="P11" s="3"/>
      <c r="Q11" s="3"/>
      <c r="R11" s="3"/>
      <c r="S11" s="3"/>
      <c r="T11" s="3"/>
      <c r="U11" s="3"/>
      <c r="V11" s="3"/>
      <c r="W11" s="3"/>
      <c r="X11" s="17"/>
      <c r="Y11" s="17"/>
      <c r="Z11" s="17"/>
      <c r="AA11" s="17"/>
      <c r="AB11" s="17"/>
    </row>
    <row r="12" spans="1:28" ht="12.75" customHeight="1">
      <c r="A12" s="98">
        <v>7</v>
      </c>
      <c r="B12" s="74" t="s">
        <v>27</v>
      </c>
      <c r="C12" s="85">
        <v>43818</v>
      </c>
      <c r="D12" s="76" t="str">
        <f>D36</f>
        <v>SV Groß Düngen</v>
      </c>
      <c r="E12" s="77" t="s">
        <v>24</v>
      </c>
      <c r="F12" s="76" t="str">
        <f>D38</f>
        <v>SSG Algermissen II</v>
      </c>
      <c r="G12" s="86">
        <v>4</v>
      </c>
      <c r="H12" s="92">
        <v>0</v>
      </c>
      <c r="I12" s="93">
        <v>100</v>
      </c>
      <c r="J12" s="86">
        <v>67</v>
      </c>
      <c r="K12" s="87"/>
      <c r="L12" s="20">
        <f>IF($G12+$H12&lt;&gt;4,"",IF($G12&gt;$H12,2,IF($G12=$H12,1,0)))</f>
        <v>2</v>
      </c>
      <c r="M12" s="21">
        <f>IF($G12+$H12&lt;&gt;4,"",2-$L12)</f>
        <v>0</v>
      </c>
      <c r="N12" s="22">
        <f t="shared" si="0"/>
      </c>
      <c r="O12" s="3"/>
      <c r="P12" s="3"/>
      <c r="Q12" s="3"/>
      <c r="R12" s="3"/>
      <c r="S12" s="3"/>
      <c r="T12" s="3"/>
      <c r="U12" s="3"/>
      <c r="V12" s="3"/>
      <c r="W12" s="3"/>
      <c r="X12" s="17"/>
      <c r="Y12" s="17"/>
      <c r="Z12" s="17"/>
      <c r="AA12" s="17"/>
      <c r="AB12" s="17"/>
    </row>
    <row r="13" spans="1:28" ht="12.75" customHeight="1">
      <c r="A13" s="98">
        <v>8</v>
      </c>
      <c r="B13" s="74" t="s">
        <v>23</v>
      </c>
      <c r="C13" s="85">
        <v>43857</v>
      </c>
      <c r="D13" s="76" t="str">
        <f>D37</f>
        <v>FSB Hildesheim II</v>
      </c>
      <c r="E13" s="77" t="s">
        <v>24</v>
      </c>
      <c r="F13" s="76" t="str">
        <f>D39</f>
        <v>MTV Banteln</v>
      </c>
      <c r="G13" s="86">
        <v>3</v>
      </c>
      <c r="H13" s="92">
        <v>1</v>
      </c>
      <c r="I13" s="93">
        <v>94</v>
      </c>
      <c r="J13" s="86">
        <v>88</v>
      </c>
      <c r="K13" s="88"/>
      <c r="L13" s="20">
        <f>IF($G13+$H13&lt;&gt;4,"",IF($G13&gt;$H13,2,IF($G13=$H13,1,0)))</f>
        <v>2</v>
      </c>
      <c r="M13" s="21">
        <f>IF($G13+$H13&lt;&gt;4,"",2-$L13)</f>
        <v>0</v>
      </c>
      <c r="N13" s="22">
        <f t="shared" si="0"/>
      </c>
      <c r="O13" s="3"/>
      <c r="P13" s="3"/>
      <c r="Q13" s="3"/>
      <c r="R13" s="3"/>
      <c r="S13" s="3"/>
      <c r="T13" s="3"/>
      <c r="U13" s="3"/>
      <c r="V13" s="3"/>
      <c r="W13" s="3"/>
      <c r="X13" s="17"/>
      <c r="Y13" s="17"/>
      <c r="Z13" s="17"/>
      <c r="AA13" s="17"/>
      <c r="AB13" s="17"/>
    </row>
    <row r="14" spans="1:28" ht="12.75" customHeight="1">
      <c r="A14" s="99"/>
      <c r="B14" s="79"/>
      <c r="C14" s="89"/>
      <c r="D14" s="81"/>
      <c r="E14" s="81"/>
      <c r="F14" s="81"/>
      <c r="G14" s="90"/>
      <c r="H14" s="94"/>
      <c r="I14" s="95"/>
      <c r="J14" s="90"/>
      <c r="K14" s="91"/>
      <c r="L14" s="30"/>
      <c r="M14" s="31"/>
      <c r="N14" s="33"/>
      <c r="O14" s="3"/>
      <c r="P14" s="3"/>
      <c r="Q14" s="3"/>
      <c r="R14" s="3"/>
      <c r="S14" s="3"/>
      <c r="T14" s="3"/>
      <c r="U14" s="3"/>
      <c r="V14" s="3"/>
      <c r="W14" s="3"/>
      <c r="X14" s="17"/>
      <c r="Y14" s="17"/>
      <c r="Z14" s="17"/>
      <c r="AA14" s="17"/>
      <c r="AB14" s="17"/>
    </row>
    <row r="15" spans="1:28" ht="12.75" customHeight="1">
      <c r="A15" s="98">
        <v>9</v>
      </c>
      <c r="B15" s="74" t="s">
        <v>40</v>
      </c>
      <c r="C15" s="85">
        <v>43847</v>
      </c>
      <c r="D15" s="76" t="str">
        <f>D39</f>
        <v>MTV Banteln</v>
      </c>
      <c r="E15" s="77" t="s">
        <v>24</v>
      </c>
      <c r="F15" s="76" t="str">
        <f>D36</f>
        <v>SV Groß Düngen</v>
      </c>
      <c r="G15" s="86">
        <v>0</v>
      </c>
      <c r="H15" s="92">
        <v>4</v>
      </c>
      <c r="I15" s="93">
        <v>68</v>
      </c>
      <c r="J15" s="86">
        <v>100</v>
      </c>
      <c r="K15" s="87"/>
      <c r="L15" s="20">
        <f>IF($G15+$H15&lt;&gt;4,"",IF($G15&gt;$H15,2,IF($G15=$H15,1,0)))</f>
        <v>0</v>
      </c>
      <c r="M15" s="21">
        <f>IF($G15+$H15&lt;&gt;4,"",2-$L15)</f>
        <v>2</v>
      </c>
      <c r="N15" s="22">
        <f t="shared" si="0"/>
      </c>
      <c r="O15" s="3"/>
      <c r="P15" s="3"/>
      <c r="Q15" s="3"/>
      <c r="R15" s="3"/>
      <c r="S15" s="3"/>
      <c r="T15" s="3"/>
      <c r="U15" s="3"/>
      <c r="V15" s="3"/>
      <c r="W15" s="3"/>
      <c r="X15" s="17"/>
      <c r="Y15" s="17"/>
      <c r="Z15" s="17"/>
      <c r="AA15" s="17"/>
      <c r="AB15" s="17"/>
    </row>
    <row r="16" spans="1:28" ht="12.75" customHeight="1">
      <c r="A16" s="98">
        <v>10</v>
      </c>
      <c r="B16" s="74" t="s">
        <v>27</v>
      </c>
      <c r="C16" s="85">
        <v>43846</v>
      </c>
      <c r="D16" s="76" t="str">
        <f>D38</f>
        <v>SSG Algermissen II</v>
      </c>
      <c r="E16" s="77" t="s">
        <v>24</v>
      </c>
      <c r="F16" s="76" t="str">
        <f>D35</f>
        <v>VSG Röss/Nordst</v>
      </c>
      <c r="G16" s="86"/>
      <c r="H16" s="92"/>
      <c r="I16" s="93"/>
      <c r="J16" s="86"/>
      <c r="K16" s="88"/>
      <c r="L16" s="20">
        <f>IF($G16+$H16&lt;&gt;4,"",IF($G16&gt;$H16,2,IF($G16=$H16,1,0)))</f>
      </c>
      <c r="M16" s="21">
        <f>IF($G16+$H16&lt;&gt;4,"",2-$L16)</f>
      </c>
      <c r="N16" s="22">
        <f t="shared" si="0"/>
      </c>
      <c r="O16" s="3"/>
      <c r="P16" s="3"/>
      <c r="Q16" s="3"/>
      <c r="R16" s="3"/>
      <c r="S16" s="3"/>
      <c r="T16" s="3"/>
      <c r="U16" s="3"/>
      <c r="V16" s="3"/>
      <c r="W16" s="3"/>
      <c r="X16" s="17"/>
      <c r="Y16" s="17"/>
      <c r="Z16" s="17"/>
      <c r="AA16" s="17"/>
      <c r="AB16" s="17"/>
    </row>
    <row r="17" spans="1:28" ht="12.75" customHeight="1">
      <c r="A17" s="99"/>
      <c r="B17" s="79"/>
      <c r="C17" s="89"/>
      <c r="D17" s="81"/>
      <c r="E17" s="81"/>
      <c r="F17" s="81"/>
      <c r="G17" s="90"/>
      <c r="H17" s="94"/>
      <c r="I17" s="95"/>
      <c r="J17" s="90"/>
      <c r="K17" s="91"/>
      <c r="L17" s="30"/>
      <c r="M17" s="31"/>
      <c r="N17" s="33"/>
      <c r="O17" s="3"/>
      <c r="P17" s="3"/>
      <c r="Q17" s="3"/>
      <c r="R17" s="3"/>
      <c r="S17" s="3"/>
      <c r="T17" s="3"/>
      <c r="U17" s="3"/>
      <c r="V17" s="3"/>
      <c r="W17" s="3"/>
      <c r="X17" s="17"/>
      <c r="Y17" s="17"/>
      <c r="Z17" s="17"/>
      <c r="AA17" s="17"/>
      <c r="AB17" s="17"/>
    </row>
    <row r="18" spans="1:28" ht="12.75" customHeight="1">
      <c r="A18" s="98">
        <v>11</v>
      </c>
      <c r="B18" s="74" t="s">
        <v>27</v>
      </c>
      <c r="C18" s="85">
        <v>43860</v>
      </c>
      <c r="D18" s="76" t="str">
        <f>F3</f>
        <v>SV Groß Düngen</v>
      </c>
      <c r="E18" s="77" t="s">
        <v>24</v>
      </c>
      <c r="F18" s="76" t="str">
        <f>D3</f>
        <v>VSG Röss/Nordst</v>
      </c>
      <c r="G18" s="86">
        <v>2</v>
      </c>
      <c r="H18" s="92">
        <v>2</v>
      </c>
      <c r="I18" s="93">
        <v>90</v>
      </c>
      <c r="J18" s="86">
        <v>82</v>
      </c>
      <c r="K18" s="87"/>
      <c r="L18" s="20">
        <f>IF($G18+$H18&lt;&gt;4,"",IF($G18&gt;$H18,2,IF($G18=$H18,1,0)))</f>
        <v>1</v>
      </c>
      <c r="M18" s="21">
        <f>IF($G18+$H18&lt;&gt;4,"",2-$L18)</f>
        <v>1</v>
      </c>
      <c r="N18" s="22">
        <f t="shared" si="0"/>
      </c>
      <c r="O18" s="3"/>
      <c r="P18" s="3"/>
      <c r="Q18" s="3"/>
      <c r="R18" s="3"/>
      <c r="S18" s="3"/>
      <c r="T18" s="3"/>
      <c r="U18" s="3"/>
      <c r="V18" s="3"/>
      <c r="W18" s="3"/>
      <c r="X18" s="17"/>
      <c r="Y18" s="17"/>
      <c r="Z18" s="17"/>
      <c r="AA18" s="17"/>
      <c r="AB18" s="17"/>
    </row>
    <row r="19" spans="1:28" ht="12.75" customHeight="1">
      <c r="A19" s="98">
        <v>12</v>
      </c>
      <c r="B19" s="74" t="s">
        <v>27</v>
      </c>
      <c r="C19" s="85">
        <v>43853</v>
      </c>
      <c r="D19" s="76" t="str">
        <f>F4</f>
        <v>SSG Algermissen II</v>
      </c>
      <c r="E19" s="77" t="s">
        <v>24</v>
      </c>
      <c r="F19" s="76" t="str">
        <f>D4</f>
        <v>FSB Hildesheim II</v>
      </c>
      <c r="G19" s="86">
        <v>2</v>
      </c>
      <c r="H19" s="92">
        <v>2</v>
      </c>
      <c r="I19" s="93">
        <v>87</v>
      </c>
      <c r="J19" s="86">
        <v>88</v>
      </c>
      <c r="K19" s="88"/>
      <c r="L19" s="20">
        <f>IF($G19+$H19&lt;&gt;4,"",IF($G19&gt;$H19,2,IF($G19=$H19,1,0)))</f>
        <v>1</v>
      </c>
      <c r="M19" s="21">
        <f>IF($G19+$H19&lt;&gt;4,"",2-$L19)</f>
        <v>1</v>
      </c>
      <c r="N19" s="22">
        <f t="shared" si="0"/>
      </c>
      <c r="O19" s="3"/>
      <c r="P19" s="3"/>
      <c r="Q19" s="3"/>
      <c r="R19" s="3"/>
      <c r="S19" s="3"/>
      <c r="T19" s="3"/>
      <c r="U19" s="3"/>
      <c r="V19" s="3"/>
      <c r="W19" s="3"/>
      <c r="X19" s="17"/>
      <c r="Y19" s="17"/>
      <c r="Z19" s="17"/>
      <c r="AA19" s="17"/>
      <c r="AB19" s="17"/>
    </row>
    <row r="20" spans="1:28" ht="12.75" customHeight="1">
      <c r="A20" s="99"/>
      <c r="B20" s="79"/>
      <c r="C20" s="89"/>
      <c r="D20" s="81"/>
      <c r="E20" s="81"/>
      <c r="F20" s="81"/>
      <c r="G20" s="90"/>
      <c r="H20" s="94"/>
      <c r="I20" s="95"/>
      <c r="J20" s="90"/>
      <c r="K20" s="91"/>
      <c r="L20" s="30"/>
      <c r="M20" s="31"/>
      <c r="N20" s="33"/>
      <c r="O20" s="3"/>
      <c r="P20" s="3"/>
      <c r="Q20" s="3"/>
      <c r="R20" s="3"/>
      <c r="S20" s="3"/>
      <c r="T20" s="3"/>
      <c r="U20" s="3"/>
      <c r="V20" s="3"/>
      <c r="W20" s="3"/>
      <c r="X20" s="17"/>
      <c r="Y20" s="17"/>
      <c r="Z20" s="17"/>
      <c r="AA20" s="17"/>
      <c r="AB20" s="17"/>
    </row>
    <row r="21" spans="1:14" ht="12.75" customHeight="1">
      <c r="A21" s="98">
        <v>13</v>
      </c>
      <c r="B21" s="74" t="s">
        <v>23</v>
      </c>
      <c r="C21" s="85">
        <v>43871</v>
      </c>
      <c r="D21" s="76" t="str">
        <f>F6</f>
        <v>VSG Röss/Nordst</v>
      </c>
      <c r="E21" s="77" t="s">
        <v>24</v>
      </c>
      <c r="F21" s="76" t="str">
        <f>D6</f>
        <v>MTV Banteln</v>
      </c>
      <c r="G21" s="86">
        <v>4</v>
      </c>
      <c r="H21" s="92">
        <v>0</v>
      </c>
      <c r="I21" s="93">
        <v>101</v>
      </c>
      <c r="J21" s="86">
        <v>78</v>
      </c>
      <c r="K21" s="87"/>
      <c r="L21" s="20">
        <f>IF($G21+$H21&lt;&gt;4,"",IF($G21&gt;$H21,2,IF($G21=$H21,1,0)))</f>
        <v>2</v>
      </c>
      <c r="M21" s="21">
        <f>IF($G21+$H21&lt;&gt;4,"",2-$L21)</f>
        <v>0</v>
      </c>
      <c r="N21" s="22">
        <f t="shared" si="0"/>
      </c>
    </row>
    <row r="22" spans="1:34" ht="12.75" customHeight="1">
      <c r="A22" s="98">
        <v>14</v>
      </c>
      <c r="B22" s="74" t="s">
        <v>23</v>
      </c>
      <c r="C22" s="85">
        <v>43878</v>
      </c>
      <c r="D22" s="76" t="str">
        <f>F7</f>
        <v>FSB Hildesheim II</v>
      </c>
      <c r="E22" s="77" t="s">
        <v>24</v>
      </c>
      <c r="F22" s="76" t="str">
        <f>D7</f>
        <v>SV Groß Düngen</v>
      </c>
      <c r="G22" s="86">
        <v>2</v>
      </c>
      <c r="H22" s="92">
        <v>2</v>
      </c>
      <c r="I22" s="93">
        <v>90</v>
      </c>
      <c r="J22" s="86">
        <v>94</v>
      </c>
      <c r="K22" s="88"/>
      <c r="L22" s="20">
        <f>IF($G22+$H22&lt;&gt;4,"",IF($G22&gt;$H22,2,IF($G22=$H22,1,0)))</f>
        <v>1</v>
      </c>
      <c r="M22" s="21">
        <f>IF($G22+$H22&lt;&gt;4,"",2-$L22)</f>
        <v>1</v>
      </c>
      <c r="N22" s="22">
        <f t="shared" si="0"/>
      </c>
      <c r="O22" s="37"/>
      <c r="P22" s="37"/>
      <c r="Q22" s="37"/>
      <c r="R22" s="37"/>
      <c r="S22" s="37"/>
      <c r="T22" s="37"/>
      <c r="U22" s="37"/>
      <c r="V22" s="37"/>
      <c r="W22" s="37"/>
      <c r="X22" s="38"/>
      <c r="Y22" s="38"/>
      <c r="Z22" s="38"/>
      <c r="AA22" s="38"/>
      <c r="AB22" s="38"/>
      <c r="AC22" s="39"/>
      <c r="AD22" s="39"/>
      <c r="AE22" s="39"/>
      <c r="AF22" s="39"/>
      <c r="AG22" s="39"/>
      <c r="AH22" s="39"/>
    </row>
    <row r="23" spans="1:14" ht="12.75" customHeight="1">
      <c r="A23" s="99"/>
      <c r="B23" s="79"/>
      <c r="C23" s="89"/>
      <c r="D23" s="81"/>
      <c r="E23" s="81"/>
      <c r="F23" s="81"/>
      <c r="G23" s="90"/>
      <c r="H23" s="94"/>
      <c r="I23" s="95"/>
      <c r="J23" s="90"/>
      <c r="K23" s="91"/>
      <c r="L23" s="30"/>
      <c r="M23" s="31"/>
      <c r="N23" s="33"/>
    </row>
    <row r="24" spans="1:14" ht="12.75" customHeight="1">
      <c r="A24" s="98">
        <v>15</v>
      </c>
      <c r="B24" s="74" t="s">
        <v>23</v>
      </c>
      <c r="C24" s="85">
        <v>43892</v>
      </c>
      <c r="D24" s="76" t="str">
        <f>F9</f>
        <v>FSB Hildesheim II</v>
      </c>
      <c r="E24" s="77" t="s">
        <v>24</v>
      </c>
      <c r="F24" s="76" t="str">
        <f>D9</f>
        <v>VSG Röss/Nordst</v>
      </c>
      <c r="G24" s="86">
        <v>2</v>
      </c>
      <c r="H24" s="92">
        <v>2</v>
      </c>
      <c r="I24" s="93">
        <v>90</v>
      </c>
      <c r="J24" s="86">
        <v>84</v>
      </c>
      <c r="K24" s="87"/>
      <c r="L24" s="20">
        <f>IF($G24+$H24&lt;&gt;4,"",IF($G24&gt;$H24,2,IF($G24=$H24,1,0)))</f>
        <v>1</v>
      </c>
      <c r="M24" s="21">
        <f>IF($G24+$H24&lt;&gt;4,"",2-$L24)</f>
        <v>1</v>
      </c>
      <c r="N24" s="22">
        <f t="shared" si="0"/>
      </c>
    </row>
    <row r="25" spans="1:14" ht="12.75" customHeight="1">
      <c r="A25" s="98">
        <v>16</v>
      </c>
      <c r="B25" s="74" t="s">
        <v>40</v>
      </c>
      <c r="C25" s="85">
        <v>43896</v>
      </c>
      <c r="D25" s="76" t="str">
        <f>F10</f>
        <v>MTV Banteln</v>
      </c>
      <c r="E25" s="77" t="s">
        <v>24</v>
      </c>
      <c r="F25" s="76" t="str">
        <f>D10</f>
        <v>SSG Algermissen II</v>
      </c>
      <c r="G25" s="86">
        <v>2</v>
      </c>
      <c r="H25" s="92">
        <v>2</v>
      </c>
      <c r="I25" s="93">
        <v>90</v>
      </c>
      <c r="J25" s="86">
        <v>84</v>
      </c>
      <c r="K25" s="88"/>
      <c r="L25" s="20">
        <f>IF($G25+$H25&lt;&gt;4,"",IF($G25&gt;$H25,2,IF($G25=$H25,1,0)))</f>
        <v>1</v>
      </c>
      <c r="M25" s="21">
        <f>IF($G25+$H25&lt;&gt;4,"",2-$L25)</f>
        <v>1</v>
      </c>
      <c r="N25" s="22">
        <f t="shared" si="0"/>
      </c>
    </row>
    <row r="26" spans="1:14" ht="12.75" customHeight="1">
      <c r="A26" s="99"/>
      <c r="B26" s="83"/>
      <c r="C26" s="81"/>
      <c r="D26" s="81"/>
      <c r="E26" s="81"/>
      <c r="F26" s="81"/>
      <c r="G26" s="90"/>
      <c r="H26" s="94"/>
      <c r="I26" s="95"/>
      <c r="J26" s="90"/>
      <c r="K26" s="91"/>
      <c r="L26" s="30"/>
      <c r="M26" s="31"/>
      <c r="N26" s="33"/>
    </row>
    <row r="27" spans="1:14" ht="12.75" customHeight="1">
      <c r="A27" s="98">
        <v>17</v>
      </c>
      <c r="B27" s="74" t="s">
        <v>27</v>
      </c>
      <c r="C27" s="85">
        <v>43958</v>
      </c>
      <c r="D27" s="76" t="str">
        <f>F12</f>
        <v>SSG Algermissen II</v>
      </c>
      <c r="E27" s="77" t="s">
        <v>24</v>
      </c>
      <c r="F27" s="76" t="str">
        <f>D12</f>
        <v>SV Groß Düngen</v>
      </c>
      <c r="G27" s="86"/>
      <c r="H27" s="92"/>
      <c r="I27" s="93"/>
      <c r="J27" s="86"/>
      <c r="K27" s="87"/>
      <c r="L27" s="20">
        <f>IF($G27+$H27&lt;&gt;4,"",IF($G27&gt;$H27,2,IF($G27=$H27,1,0)))</f>
      </c>
      <c r="M27" s="21">
        <f>IF($G27+$H27&lt;&gt;4,"",2-$L27)</f>
      </c>
      <c r="N27" s="22">
        <f t="shared" si="0"/>
      </c>
    </row>
    <row r="28" spans="1:14" ht="12.75" customHeight="1">
      <c r="A28" s="98">
        <v>18</v>
      </c>
      <c r="B28" s="74" t="s">
        <v>40</v>
      </c>
      <c r="C28" s="85">
        <v>43966</v>
      </c>
      <c r="D28" s="76" t="str">
        <f>F13</f>
        <v>MTV Banteln</v>
      </c>
      <c r="E28" s="77" t="s">
        <v>24</v>
      </c>
      <c r="F28" s="76" t="str">
        <f>D13</f>
        <v>FSB Hildesheim II</v>
      </c>
      <c r="G28" s="86"/>
      <c r="H28" s="92"/>
      <c r="I28" s="93"/>
      <c r="J28" s="86"/>
      <c r="K28" s="88"/>
      <c r="L28" s="20">
        <f>IF($G28+$H28&lt;&gt;4,"",IF($G28&gt;$H28,2,IF($G28=$H28,1,0)))</f>
      </c>
      <c r="M28" s="21">
        <f>IF($G28+$H28&lt;&gt;4,"",2-$L28)</f>
      </c>
      <c r="N28" s="22">
        <f t="shared" si="0"/>
      </c>
    </row>
    <row r="29" spans="1:14" ht="12.75" customHeight="1">
      <c r="A29" s="99"/>
      <c r="B29" s="79"/>
      <c r="C29" s="89"/>
      <c r="D29" s="81"/>
      <c r="E29" s="81"/>
      <c r="F29" s="81"/>
      <c r="G29" s="90"/>
      <c r="H29" s="94"/>
      <c r="I29" s="95"/>
      <c r="J29" s="90"/>
      <c r="K29" s="91"/>
      <c r="L29" s="30"/>
      <c r="M29" s="31"/>
      <c r="N29" s="33"/>
    </row>
    <row r="30" spans="1:14" ht="12.75" customHeight="1">
      <c r="A30" s="98">
        <v>19</v>
      </c>
      <c r="B30" s="74" t="s">
        <v>27</v>
      </c>
      <c r="C30" s="85">
        <v>43951</v>
      </c>
      <c r="D30" s="76" t="str">
        <f>F15</f>
        <v>SV Groß Düngen</v>
      </c>
      <c r="E30" s="77" t="s">
        <v>24</v>
      </c>
      <c r="F30" s="76" t="str">
        <f>D15</f>
        <v>MTV Banteln</v>
      </c>
      <c r="G30" s="86"/>
      <c r="H30" s="92"/>
      <c r="I30" s="93"/>
      <c r="J30" s="86"/>
      <c r="K30" s="87"/>
      <c r="L30" s="20">
        <f>IF($G30+$H30&lt;&gt;4,"",IF($G30&gt;$H30,2,IF($G30=$H30,1,0)))</f>
      </c>
      <c r="M30" s="21">
        <f>IF($G30+$H30&lt;&gt;4,"",2-$L30)</f>
      </c>
      <c r="N30" s="22">
        <f t="shared" si="0"/>
      </c>
    </row>
    <row r="31" spans="1:14" ht="12.75" customHeight="1">
      <c r="A31" s="98">
        <v>20</v>
      </c>
      <c r="B31" s="74" t="s">
        <v>23</v>
      </c>
      <c r="C31" s="85">
        <v>43948</v>
      </c>
      <c r="D31" s="76" t="str">
        <f>F16</f>
        <v>VSG Röss/Nordst</v>
      </c>
      <c r="E31" s="77" t="s">
        <v>24</v>
      </c>
      <c r="F31" s="76" t="str">
        <f>D16</f>
        <v>SSG Algermissen II</v>
      </c>
      <c r="G31" s="86"/>
      <c r="H31" s="92"/>
      <c r="I31" s="93"/>
      <c r="J31" s="86"/>
      <c r="K31" s="88"/>
      <c r="L31" s="20">
        <f>IF($G31+$H31&lt;&gt;4,"",IF($G31&gt;$H31,2,IF($G31=$H31,1,0)))</f>
      </c>
      <c r="M31" s="21">
        <f>IF($G31+$H31&lt;&gt;4,"",2-$L31)</f>
      </c>
      <c r="N31" s="22">
        <f t="shared" si="0"/>
      </c>
    </row>
    <row r="32" spans="1:13" ht="12.75" customHeight="1">
      <c r="A32" s="40"/>
      <c r="B32" s="40"/>
      <c r="C32" s="67"/>
      <c r="D32" s="42"/>
      <c r="E32" s="43"/>
      <c r="F32" s="44"/>
      <c r="L32" s="3"/>
      <c r="M32" s="3"/>
    </row>
    <row r="33" spans="1:35" s="49" customFormat="1" ht="12.75" customHeight="1">
      <c r="A33" s="36" t="s">
        <v>28</v>
      </c>
      <c r="B33" s="45"/>
      <c r="C33" s="46"/>
      <c r="D33" s="46"/>
      <c r="E33" s="47"/>
      <c r="F33" s="46"/>
      <c r="G33" s="107">
        <f>SUM(G3:H32)</f>
        <v>52</v>
      </c>
      <c r="H33" s="107"/>
      <c r="I33" s="107">
        <f>SUM(I3:J32)</f>
        <v>2275</v>
      </c>
      <c r="J33" s="107"/>
      <c r="K33" s="48"/>
      <c r="L33" s="107">
        <f>SUM(L3:M32)</f>
        <v>26</v>
      </c>
      <c r="M33" s="107"/>
      <c r="N33" s="38"/>
      <c r="O33" s="4"/>
      <c r="P33" s="4"/>
      <c r="Q33" s="4"/>
      <c r="R33" s="4"/>
      <c r="S33" s="4"/>
      <c r="T33" s="4"/>
      <c r="U33" s="4"/>
      <c r="V33" s="4"/>
      <c r="W33" s="4"/>
      <c r="X33" s="5"/>
      <c r="Y33" s="5"/>
      <c r="Z33" s="5"/>
      <c r="AA33" s="5"/>
      <c r="AB33" s="5"/>
      <c r="AC33" s="6"/>
      <c r="AD33" s="6"/>
      <c r="AE33" s="6"/>
      <c r="AF33" s="6"/>
      <c r="AG33" s="6"/>
      <c r="AH33" s="6"/>
      <c r="AI33" s="39"/>
    </row>
    <row r="34" spans="3:6" ht="12.75">
      <c r="C34" s="44"/>
      <c r="D34" s="44"/>
      <c r="E34" s="43"/>
      <c r="F34" s="44"/>
    </row>
    <row r="35" spans="1:34" ht="12.75">
      <c r="A35" s="100" t="s">
        <v>29</v>
      </c>
      <c r="B35" s="50"/>
      <c r="C35" s="68"/>
      <c r="D35" s="52" t="s">
        <v>41</v>
      </c>
      <c r="E35" s="43"/>
      <c r="F35" s="44"/>
      <c r="AD35" s="53" t="s">
        <v>31</v>
      </c>
      <c r="AE35" s="54"/>
      <c r="AF35" s="54"/>
      <c r="AG35" s="54"/>
      <c r="AH35" s="55"/>
    </row>
    <row r="36" spans="1:34" ht="12.75">
      <c r="A36" s="56"/>
      <c r="B36" s="56"/>
      <c r="C36" s="69"/>
      <c r="D36" s="52" t="s">
        <v>42</v>
      </c>
      <c r="E36" s="43"/>
      <c r="F36" s="44"/>
      <c r="AD36" s="58" t="s">
        <v>33</v>
      </c>
      <c r="AE36" s="59"/>
      <c r="AF36" s="59"/>
      <c r="AG36" s="59"/>
      <c r="AH36" s="60"/>
    </row>
    <row r="37" spans="1:34" ht="12.75">
      <c r="A37" s="61"/>
      <c r="B37" s="61"/>
      <c r="C37" s="70"/>
      <c r="D37" s="52" t="s">
        <v>43</v>
      </c>
      <c r="E37" s="43"/>
      <c r="F37" s="44"/>
      <c r="AD37" s="58" t="s">
        <v>35</v>
      </c>
      <c r="AE37" s="59"/>
      <c r="AF37" s="59"/>
      <c r="AG37" s="59"/>
      <c r="AH37" s="60"/>
    </row>
    <row r="38" spans="1:34" ht="12.75">
      <c r="A38" s="61"/>
      <c r="B38" s="61"/>
      <c r="C38" s="70"/>
      <c r="D38" s="52" t="s">
        <v>44</v>
      </c>
      <c r="E38" s="43"/>
      <c r="F38" s="44"/>
      <c r="AD38" s="58" t="s">
        <v>37</v>
      </c>
      <c r="AE38" s="59"/>
      <c r="AF38" s="59"/>
      <c r="AG38" s="59"/>
      <c r="AH38" s="60"/>
    </row>
    <row r="39" spans="3:34" ht="12.75">
      <c r="C39" s="44"/>
      <c r="D39" s="52" t="s">
        <v>45</v>
      </c>
      <c r="E39" s="43"/>
      <c r="F39" s="44"/>
      <c r="AD39" s="63" t="s">
        <v>38</v>
      </c>
      <c r="AE39" s="64"/>
      <c r="AF39" s="64"/>
      <c r="AG39" s="64"/>
      <c r="AH39" s="65"/>
    </row>
    <row r="40" ht="12.75">
      <c r="C40" s="44"/>
    </row>
    <row r="41" ht="12.75">
      <c r="C41" s="44"/>
    </row>
  </sheetData>
  <sheetProtection selectLockedCells="1" selectUnlockedCells="1"/>
  <mergeCells count="12">
    <mergeCell ref="O1:AA1"/>
    <mergeCell ref="AC1:AH1"/>
    <mergeCell ref="D2:F2"/>
    <mergeCell ref="G2:H2"/>
    <mergeCell ref="I2:J2"/>
    <mergeCell ref="L2:M2"/>
    <mergeCell ref="G33:H33"/>
    <mergeCell ref="I33:J33"/>
    <mergeCell ref="L33:M33"/>
    <mergeCell ref="A1:F1"/>
    <mergeCell ref="G1:J1"/>
    <mergeCell ref="L1:M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39"/>
  <sheetViews>
    <sheetView zoomScalePageLayoutView="0" workbookViewId="0" topLeftCell="A10">
      <selection activeCell="C29" sqref="C29"/>
    </sheetView>
  </sheetViews>
  <sheetFormatPr defaultColWidth="11.421875" defaultRowHeight="12.75"/>
  <cols>
    <col min="1" max="1" width="4.28125" style="1" customWidth="1"/>
    <col min="2" max="2" width="3.7109375" style="1" customWidth="1"/>
    <col min="3" max="3" width="9.421875" style="1" customWidth="1"/>
    <col min="4" max="4" width="21.57421875" style="1" customWidth="1"/>
    <col min="5" max="5" width="1.7109375" style="2" customWidth="1"/>
    <col min="6" max="6" width="20.7109375" style="1" customWidth="1"/>
    <col min="7" max="8" width="4.140625" style="3" customWidth="1"/>
    <col min="9" max="10" width="6.00390625" style="4" customWidth="1"/>
    <col min="11" max="11" width="0.71875" style="4" customWidth="1"/>
    <col min="12" max="13" width="5.8515625" style="4" customWidth="1"/>
    <col min="14" max="14" width="3.7109375" style="5" customWidth="1"/>
    <col min="15" max="15" width="5.140625" style="4" hidden="1" customWidth="1"/>
    <col min="16" max="16" width="20.7109375" style="4" hidden="1" customWidth="1"/>
    <col min="17" max="17" width="5.8515625" style="4" hidden="1" customWidth="1"/>
    <col min="18" max="23" width="5.57421875" style="4" hidden="1" customWidth="1"/>
    <col min="24" max="26" width="5.57421875" style="5" hidden="1" customWidth="1"/>
    <col min="27" max="27" width="9.57421875" style="5" hidden="1" customWidth="1"/>
    <col min="28" max="28" width="1.57421875" style="5" customWidth="1"/>
    <col min="29" max="29" width="5.421875" style="6" customWidth="1"/>
    <col min="30" max="30" width="20.57421875" style="6" customWidth="1"/>
    <col min="31" max="31" width="5.8515625" style="6" customWidth="1"/>
    <col min="32" max="34" width="8.421875" style="6" customWidth="1"/>
    <col min="35" max="35" width="11.421875" style="6" customWidth="1"/>
  </cols>
  <sheetData>
    <row r="1" spans="1:38" s="11" customFormat="1" ht="21" customHeight="1">
      <c r="A1" s="109" t="s">
        <v>46</v>
      </c>
      <c r="B1" s="109"/>
      <c r="C1" s="109"/>
      <c r="D1" s="109"/>
      <c r="E1" s="109"/>
      <c r="F1" s="109"/>
      <c r="G1" s="119" t="s">
        <v>1</v>
      </c>
      <c r="H1" s="119"/>
      <c r="I1" s="119"/>
      <c r="J1" s="119"/>
      <c r="K1" s="7"/>
      <c r="L1" s="111" t="s">
        <v>2</v>
      </c>
      <c r="M1" s="111"/>
      <c r="N1" s="8"/>
      <c r="O1" s="112" t="s">
        <v>3</v>
      </c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9"/>
      <c r="AC1" s="113" t="s">
        <v>4</v>
      </c>
      <c r="AD1" s="113"/>
      <c r="AE1" s="113"/>
      <c r="AF1" s="113"/>
      <c r="AG1" s="113"/>
      <c r="AH1" s="113"/>
      <c r="AI1" s="10"/>
      <c r="AJ1" s="10"/>
      <c r="AK1" s="10"/>
      <c r="AL1" s="10"/>
    </row>
    <row r="2" spans="1:35" s="19" customFormat="1" ht="35.25" customHeight="1">
      <c r="A2" s="105" t="s">
        <v>5</v>
      </c>
      <c r="B2" s="71" t="s">
        <v>6</v>
      </c>
      <c r="C2" s="72" t="s">
        <v>7</v>
      </c>
      <c r="D2" s="114" t="str">
        <f>IF(D35="","Bitte zuerst die 5 Mannschaftsnamen unten ab Zeile 35 eingeben","Spielpaarung")</f>
        <v>Spielpaarung</v>
      </c>
      <c r="E2" s="114"/>
      <c r="F2" s="114"/>
      <c r="G2" s="115" t="s">
        <v>8</v>
      </c>
      <c r="H2" s="116"/>
      <c r="I2" s="116" t="s">
        <v>9</v>
      </c>
      <c r="J2" s="117"/>
      <c r="K2" s="12"/>
      <c r="L2" s="118" t="s">
        <v>10</v>
      </c>
      <c r="M2" s="118"/>
      <c r="N2" s="12"/>
      <c r="O2" s="13" t="s">
        <v>11</v>
      </c>
      <c r="P2" s="13" t="s">
        <v>12</v>
      </c>
      <c r="Q2" s="13" t="s">
        <v>13</v>
      </c>
      <c r="R2" s="14" t="s">
        <v>14</v>
      </c>
      <c r="S2" s="15" t="s">
        <v>15</v>
      </c>
      <c r="T2" s="13" t="s">
        <v>10</v>
      </c>
      <c r="U2" s="14" t="s">
        <v>16</v>
      </c>
      <c r="V2" s="15" t="s">
        <v>17</v>
      </c>
      <c r="W2" s="13" t="s">
        <v>18</v>
      </c>
      <c r="X2" s="15" t="s">
        <v>19</v>
      </c>
      <c r="Y2" s="15" t="s">
        <v>20</v>
      </c>
      <c r="Z2" s="13" t="s">
        <v>21</v>
      </c>
      <c r="AA2" s="16" t="s">
        <v>22</v>
      </c>
      <c r="AB2" s="17"/>
      <c r="AC2" s="18" t="s">
        <v>11</v>
      </c>
      <c r="AD2" s="18" t="s">
        <v>12</v>
      </c>
      <c r="AE2" s="18" t="s">
        <v>13</v>
      </c>
      <c r="AF2" s="18" t="s">
        <v>10</v>
      </c>
      <c r="AG2" s="18" t="s">
        <v>18</v>
      </c>
      <c r="AH2" s="18" t="s">
        <v>21</v>
      </c>
      <c r="AI2" s="10"/>
    </row>
    <row r="3" spans="1:35" ht="12.75" customHeight="1">
      <c r="A3" s="97">
        <v>1</v>
      </c>
      <c r="B3" s="74" t="s">
        <v>25</v>
      </c>
      <c r="C3" s="75">
        <v>43725</v>
      </c>
      <c r="D3" s="106" t="str">
        <f>D35</f>
        <v>SV Wendhausen</v>
      </c>
      <c r="E3" s="77" t="s">
        <v>24</v>
      </c>
      <c r="F3" s="76" t="str">
        <f>D36</f>
        <v>MTV SG Bors/Hars/Acht I</v>
      </c>
      <c r="G3" s="78">
        <v>2</v>
      </c>
      <c r="H3" s="101">
        <v>2</v>
      </c>
      <c r="I3" s="102">
        <v>90</v>
      </c>
      <c r="J3" s="78">
        <v>89</v>
      </c>
      <c r="K3" s="5"/>
      <c r="L3" s="20">
        <f>IF($G3+$H3&lt;&gt;4,"",IF($G3&gt;$H3,2,IF($G3=$H3,1,0)))</f>
        <v>1</v>
      </c>
      <c r="M3" s="21">
        <f>IF($G3+$H3&lt;&gt;4,"",2-$L3)</f>
        <v>1</v>
      </c>
      <c r="N3" s="22">
        <f aca="true" t="shared" si="0" ref="N3:N31">IF(AND(G3&lt;&gt;"",H3&lt;&gt;"",G3+H3&lt;&gt;4),"!!!","")</f>
      </c>
      <c r="O3" s="23">
        <f>RANK(AA3,$AA$3:$AA$7)</f>
        <v>1</v>
      </c>
      <c r="P3" s="24" t="str">
        <f>D35</f>
        <v>SV Wendhausen</v>
      </c>
      <c r="Q3" s="23">
        <f>(R3+S3)/2</f>
        <v>6</v>
      </c>
      <c r="R3" s="25">
        <f>SUMIF($D$3:$D$31,$P3,$L$3:$L$31)+SUMIF($F$3:$F$31,$P3,$M$3:$M$31)</f>
        <v>11</v>
      </c>
      <c r="S3" s="26">
        <f>SUMIF($D$3:$D$31,$P3,$M$3:$M$31)+SUMIF($F$3:$F$31,$P3,$L$3:$L$31)</f>
        <v>1</v>
      </c>
      <c r="T3" s="23" t="str">
        <f>R3&amp;" : "&amp;S3</f>
        <v>11 : 1</v>
      </c>
      <c r="U3" s="25">
        <f>SUMIF($D$3:$D$31,$P3,$G$3:$G$31)+SUMIF($F$3:$F$31,$P3,$H$3:$H$31)</f>
        <v>19</v>
      </c>
      <c r="V3" s="26">
        <f>SUMIF($D$3:$D$31,$P3,$H$3:$H$31)+SUMIF($F$3:$F$31,$P3,$G$3:$G$31)</f>
        <v>5</v>
      </c>
      <c r="W3" s="23" t="str">
        <f>U3&amp;" : "&amp;V3</f>
        <v>19 : 5</v>
      </c>
      <c r="X3" s="25">
        <f>SUMIF($D$3:$D$31,$P3,$I$3:$I$31)+SUMIF($F$3:$F$31,$P3,$J$3:$J$31)</f>
        <v>578</v>
      </c>
      <c r="Y3" s="26">
        <f>SUMIF($D$3:$D$31,$P3,$J$3:$J$31)+SUMIF($F$3:$F$31,$P3,$I$3:$I$31)</f>
        <v>451</v>
      </c>
      <c r="Z3" s="23" t="str">
        <f>X3&amp;" : "&amp;Y3</f>
        <v>578 : 451</v>
      </c>
      <c r="AA3" s="27">
        <f>R3*1000000000+(R3-S3)*10000000+(U3-V3)*10000+(X3-Y3)-ROW(P3)/100</f>
        <v>11100140126.97</v>
      </c>
      <c r="AB3" s="17"/>
      <c r="AC3" s="28">
        <v>1</v>
      </c>
      <c r="AD3" s="29" t="str">
        <f>VLOOKUP($AC3,$O$3:$P$7,2,FALSE)</f>
        <v>SV Wendhausen</v>
      </c>
      <c r="AE3" s="28">
        <f>VLOOKUP($AC3,$O$3:$Z$7,3,FALSE)</f>
        <v>6</v>
      </c>
      <c r="AF3" s="28" t="str">
        <f>VLOOKUP($AC3,$O$3:$Z$7,6,FALSE)</f>
        <v>11 : 1</v>
      </c>
      <c r="AG3" s="28" t="str">
        <f>VLOOKUP($AC3,$O$3:$Z$7,9,FALSE)</f>
        <v>19 : 5</v>
      </c>
      <c r="AH3" s="28" t="str">
        <f>VLOOKUP($AC3,$O$3:$Z$7,12,FALSE)</f>
        <v>578 : 451</v>
      </c>
      <c r="AI3"/>
    </row>
    <row r="4" spans="1:35" ht="12.75" customHeight="1">
      <c r="A4" s="97">
        <v>2</v>
      </c>
      <c r="B4" s="74" t="s">
        <v>25</v>
      </c>
      <c r="C4" s="75">
        <v>43725</v>
      </c>
      <c r="D4" s="76" t="str">
        <f>D37</f>
        <v>CVJM Sarstedt</v>
      </c>
      <c r="E4" s="77" t="s">
        <v>24</v>
      </c>
      <c r="F4" s="76" t="str">
        <f>D38</f>
        <v>TSV Sibbesse I</v>
      </c>
      <c r="G4" s="78">
        <v>0</v>
      </c>
      <c r="H4" s="101">
        <v>4</v>
      </c>
      <c r="I4" s="102">
        <v>65</v>
      </c>
      <c r="J4" s="78">
        <v>100</v>
      </c>
      <c r="K4" s="22"/>
      <c r="L4" s="20">
        <f>IF($G4+$H4&lt;&gt;4,"",IF($G4&gt;$H4,2,IF($G4=$H4,1,0)))</f>
        <v>0</v>
      </c>
      <c r="M4" s="21">
        <f>IF($G4+$H4&lt;&gt;4,"",2-$L4)</f>
        <v>2</v>
      </c>
      <c r="N4" s="22">
        <f t="shared" si="0"/>
      </c>
      <c r="O4" s="23">
        <f>RANK(AA4,$AA$3:$AA$7)</f>
        <v>5</v>
      </c>
      <c r="P4" s="24" t="str">
        <f>D36</f>
        <v>MTV SG Bors/Hars/Acht I</v>
      </c>
      <c r="Q4" s="23">
        <f>(R4+S4)/2</f>
        <v>6</v>
      </c>
      <c r="R4" s="25">
        <f>SUMIF($D$3:$D$31,$P4,$L$3:$L$31)+SUMIF($F$3:$F$31,$P4,$M$3:$M$31)</f>
        <v>4</v>
      </c>
      <c r="S4" s="26">
        <f>SUMIF($D$3:$D$31,$P4,$M$3:$M$31)+SUMIF($F$3:$F$31,$P4,$L$3:$L$31)</f>
        <v>8</v>
      </c>
      <c r="T4" s="23" t="str">
        <f>R4&amp;" : "&amp;S4</f>
        <v>4 : 8</v>
      </c>
      <c r="U4" s="25">
        <f>SUMIF($D$3:$D$31,$P4,$G$3:$G$31)+SUMIF($F$3:$F$31,$P4,$H$3:$H$31)</f>
        <v>9</v>
      </c>
      <c r="V4" s="26">
        <f>SUMIF($D$3:$D$31,$P4,$H$3:$H$31)+SUMIF($F$3:$F$31,$P4,$G$3:$G$31)</f>
        <v>15</v>
      </c>
      <c r="W4" s="23" t="str">
        <f>U4&amp;" : "&amp;V4</f>
        <v>9 : 15</v>
      </c>
      <c r="X4" s="25">
        <f>SUMIF($D$3:$D$31,$P4,$I$3:$I$31)+SUMIF($F$3:$F$31,$P4,$J$3:$J$31)</f>
        <v>517</v>
      </c>
      <c r="Y4" s="26">
        <f>SUMIF($D$3:$D$31,$P4,$J$3:$J$31)+SUMIF($F$3:$F$31,$P4,$I$3:$I$31)</f>
        <v>537</v>
      </c>
      <c r="Z4" s="23" t="str">
        <f>X4&amp;" : "&amp;Y4</f>
        <v>517 : 537</v>
      </c>
      <c r="AA4" s="27">
        <f>R4*1000000000+(R4-S4)*10000000+(U4-V4)*10000+(X4-Y4)-ROW(P4)/100</f>
        <v>3959939979.96</v>
      </c>
      <c r="AB4" s="17"/>
      <c r="AC4" s="28">
        <v>2</v>
      </c>
      <c r="AD4" s="29" t="str">
        <f>VLOOKUP($AC4,$O$3:$Z$7,2,FALSE)</f>
        <v>CVJM Sarstedt</v>
      </c>
      <c r="AE4" s="28">
        <f>VLOOKUP($AC4,$O$3:$Z$7,3,FALSE)</f>
        <v>7</v>
      </c>
      <c r="AF4" s="28" t="str">
        <f>VLOOKUP($AC4,$O$3:$Z$7,6,FALSE)</f>
        <v>6 : 8</v>
      </c>
      <c r="AG4" s="28" t="str">
        <f>VLOOKUP($AC4,$O$3:$Z$7,9,FALSE)</f>
        <v>13 : 15</v>
      </c>
      <c r="AH4" s="28" t="str">
        <f>VLOOKUP($AC4,$O$3:$Z$7,12,FALSE)</f>
        <v>581 : 641</v>
      </c>
      <c r="AI4"/>
    </row>
    <row r="5" spans="1:35" ht="12.75" customHeight="1">
      <c r="A5" s="80"/>
      <c r="B5" s="79"/>
      <c r="C5" s="80"/>
      <c r="D5" s="81"/>
      <c r="E5" s="81"/>
      <c r="F5" s="81"/>
      <c r="G5" s="82"/>
      <c r="H5" s="103"/>
      <c r="I5" s="104"/>
      <c r="J5" s="82"/>
      <c r="K5" s="32"/>
      <c r="L5" s="30"/>
      <c r="M5" s="31"/>
      <c r="N5" s="33"/>
      <c r="O5" s="23">
        <f>RANK(AA5,$AA$3:$AA$7)</f>
        <v>2</v>
      </c>
      <c r="P5" s="24" t="str">
        <f>D37</f>
        <v>CVJM Sarstedt</v>
      </c>
      <c r="Q5" s="23">
        <f>(R5+S5)/2</f>
        <v>7</v>
      </c>
      <c r="R5" s="25">
        <f>SUMIF($D$3:$D$31,$P5,$L$3:$L$31)+SUMIF($F$3:$F$31,$P5,$M$3:$M$31)</f>
        <v>6</v>
      </c>
      <c r="S5" s="26">
        <f>SUMIF($D$3:$D$31,$P5,$M$3:$M$31)+SUMIF($F$3:$F$31,$P5,$L$3:$L$31)</f>
        <v>8</v>
      </c>
      <c r="T5" s="23" t="str">
        <f>R5&amp;" : "&amp;S5</f>
        <v>6 : 8</v>
      </c>
      <c r="U5" s="25">
        <f>SUMIF($D$3:$D$31,$P5,$G$3:$G$31)+SUMIF($F$3:$F$31,$P5,$H$3:$H$31)</f>
        <v>13</v>
      </c>
      <c r="V5" s="26">
        <f>SUMIF($D$3:$D$31,$P5,$H$3:$H$31)+SUMIF($F$3:$F$31,$P5,$G$3:$G$31)</f>
        <v>15</v>
      </c>
      <c r="W5" s="23" t="str">
        <f>U5&amp;" : "&amp;V5</f>
        <v>13 : 15</v>
      </c>
      <c r="X5" s="25">
        <f>SUMIF($D$3:$D$31,$P5,$I$3:$I$31)+SUMIF($F$3:$F$31,$P5,$J$3:$J$31)</f>
        <v>581</v>
      </c>
      <c r="Y5" s="26">
        <f>SUMIF($D$3:$D$31,$P5,$J$3:$J$31)+SUMIF($F$3:$F$31,$P5,$I$3:$I$31)</f>
        <v>641</v>
      </c>
      <c r="Z5" s="23" t="str">
        <f>X5&amp;" : "&amp;Y5</f>
        <v>581 : 641</v>
      </c>
      <c r="AA5" s="27">
        <f>R5*1000000000+(R5-S5)*10000000+(U5-V5)*10000+(X5-Y5)-ROW(P5)/100</f>
        <v>5979979939.95</v>
      </c>
      <c r="AB5" s="17"/>
      <c r="AC5" s="28">
        <v>3</v>
      </c>
      <c r="AD5" s="29" t="str">
        <f>VLOOKUP($AC5,$O$3:$Z$7,2,FALSE)</f>
        <v>TSV Sibbesse I</v>
      </c>
      <c r="AE5" s="28">
        <f>VLOOKUP($AC5,$O$3:$Z$7,3,FALSE)</f>
        <v>6</v>
      </c>
      <c r="AF5" s="28" t="str">
        <f>VLOOKUP($AC5,$O$3:$Z$7,6,FALSE)</f>
        <v>5 : 7</v>
      </c>
      <c r="AG5" s="28" t="str">
        <f>VLOOKUP($AC5,$O$3:$Z$7,9,FALSE)</f>
        <v>12 : 12</v>
      </c>
      <c r="AH5" s="28" t="str">
        <f>VLOOKUP($AC5,$O$3:$Z$7,12,FALSE)</f>
        <v>492 : 512</v>
      </c>
      <c r="AI5"/>
    </row>
    <row r="6" spans="1:35" ht="12.75" customHeight="1">
      <c r="A6" s="97">
        <v>3</v>
      </c>
      <c r="B6" s="74" t="s">
        <v>27</v>
      </c>
      <c r="C6" s="75">
        <v>43937</v>
      </c>
      <c r="D6" s="76" t="str">
        <f>D39</f>
        <v>TSV Brunkensen II</v>
      </c>
      <c r="E6" s="77" t="s">
        <v>24</v>
      </c>
      <c r="F6" s="76" t="str">
        <f>D35</f>
        <v>SV Wendhausen</v>
      </c>
      <c r="G6" s="78"/>
      <c r="H6" s="101"/>
      <c r="I6" s="102"/>
      <c r="J6" s="78"/>
      <c r="K6" s="5"/>
      <c r="L6" s="20">
        <f>IF($G6+$H6&lt;&gt;4,"",IF($G6&gt;$H6,2,IF($G6=$H6,1,0)))</f>
      </c>
      <c r="M6" s="21">
        <f>IF($G6+$H6&lt;&gt;4,"",2-$L6)</f>
      </c>
      <c r="N6" s="22">
        <f t="shared" si="0"/>
      </c>
      <c r="O6" s="23">
        <f>RANK(AA6,$AA$3:$AA$7)</f>
        <v>3</v>
      </c>
      <c r="P6" s="24" t="str">
        <f>D38</f>
        <v>TSV Sibbesse I</v>
      </c>
      <c r="Q6" s="23">
        <f>(R6+S6)/2</f>
        <v>6</v>
      </c>
      <c r="R6" s="25">
        <f>SUMIF($D$3:$D$31,$P6,$L$3:$L$31)+SUMIF($F$3:$F$31,$P6,$M$3:$M$31)</f>
        <v>5</v>
      </c>
      <c r="S6" s="26">
        <f>SUMIF($D$3:$D$31,$P6,$M$3:$M$31)+SUMIF($F$3:$F$31,$P6,$L$3:$L$31)</f>
        <v>7</v>
      </c>
      <c r="T6" s="23" t="str">
        <f>R6&amp;" : "&amp;S6</f>
        <v>5 : 7</v>
      </c>
      <c r="U6" s="25">
        <f>SUMIF($D$3:$D$31,$P6,$G$3:$G$31)+SUMIF($F$3:$F$31,$P6,$H$3:$H$31)</f>
        <v>12</v>
      </c>
      <c r="V6" s="26">
        <f>SUMIF($D$3:$D$31,$P6,$H$3:$H$31)+SUMIF($F$3:$F$31,$P6,$G$3:$G$31)</f>
        <v>12</v>
      </c>
      <c r="W6" s="23" t="str">
        <f>U6&amp;" : "&amp;V6</f>
        <v>12 : 12</v>
      </c>
      <c r="X6" s="25">
        <f>SUMIF($D$3:$D$31,$P6,$I$3:$I$31)+SUMIF($F$3:$F$31,$P6,$J$3:$J$31)</f>
        <v>492</v>
      </c>
      <c r="Y6" s="26">
        <f>SUMIF($D$3:$D$31,$P6,$J$3:$J$31)+SUMIF($F$3:$F$31,$P6,$I$3:$I$31)</f>
        <v>512</v>
      </c>
      <c r="Z6" s="23" t="str">
        <f>X6&amp;" : "&amp;Y6</f>
        <v>492 : 512</v>
      </c>
      <c r="AA6" s="27">
        <f>R6*1000000000+(R6-S6)*10000000+(U6-V6)*10000+(X6-Y6)-ROW(P6)/100</f>
        <v>4979999979.94</v>
      </c>
      <c r="AB6" s="17"/>
      <c r="AC6" s="28">
        <v>4</v>
      </c>
      <c r="AD6" s="29" t="str">
        <f>VLOOKUP($AC6,$O$3:$Z$7,2,FALSE)</f>
        <v>TSV Brunkensen II</v>
      </c>
      <c r="AE6" s="28">
        <f>VLOOKUP($AC6,$O$3:$Z$7,3,FALSE)</f>
        <v>5</v>
      </c>
      <c r="AF6" s="28" t="str">
        <f>VLOOKUP($AC6,$O$3:$Z$7,6,FALSE)</f>
        <v>4 : 6</v>
      </c>
      <c r="AG6" s="28" t="str">
        <f>VLOOKUP($AC6,$O$3:$Z$7,9,FALSE)</f>
        <v>7 : 13</v>
      </c>
      <c r="AH6" s="28" t="str">
        <f>VLOOKUP($AC6,$O$3:$Z$7,12,FALSE)</f>
        <v>432 : 459</v>
      </c>
      <c r="AI6"/>
    </row>
    <row r="7" spans="1:35" ht="12.75" customHeight="1">
      <c r="A7" s="97">
        <v>4</v>
      </c>
      <c r="B7" s="74" t="s">
        <v>25</v>
      </c>
      <c r="C7" s="75">
        <v>43774</v>
      </c>
      <c r="D7" s="76" t="str">
        <f>D36</f>
        <v>MTV SG Bors/Hars/Acht I</v>
      </c>
      <c r="E7" s="77" t="s">
        <v>24</v>
      </c>
      <c r="F7" s="76" t="str">
        <f>D37</f>
        <v>CVJM Sarstedt</v>
      </c>
      <c r="G7" s="78">
        <v>1</v>
      </c>
      <c r="H7" s="101">
        <v>3</v>
      </c>
      <c r="I7" s="102">
        <v>86</v>
      </c>
      <c r="J7" s="78">
        <v>90</v>
      </c>
      <c r="K7" s="22"/>
      <c r="L7" s="20">
        <f>IF($G7+$H7&lt;&gt;4,"",IF($G7&gt;$H7,2,IF($G7=$H7,1,0)))</f>
        <v>0</v>
      </c>
      <c r="M7" s="21">
        <f>IF($G7+$H7&lt;&gt;4,"",2-$L7)</f>
        <v>2</v>
      </c>
      <c r="N7" s="22">
        <f t="shared" si="0"/>
      </c>
      <c r="O7" s="23">
        <f>RANK(AA7,$AA$3:$AA$7)</f>
        <v>4</v>
      </c>
      <c r="P7" s="24" t="str">
        <f>D39</f>
        <v>TSV Brunkensen II</v>
      </c>
      <c r="Q7" s="23">
        <f>(R7+S7)/2</f>
        <v>5</v>
      </c>
      <c r="R7" s="25">
        <f>SUMIF($D$3:$D$31,$P7,$L$3:$L$31)+SUMIF($F$3:$F$31,$P7,$M$3:$M$31)</f>
        <v>4</v>
      </c>
      <c r="S7" s="26">
        <f>SUMIF($D$3:$D$31,$P7,$M$3:$M$31)+SUMIF($F$3:$F$31,$P7,$L$3:$L$31)</f>
        <v>6</v>
      </c>
      <c r="T7" s="23" t="str">
        <f>R7&amp;" : "&amp;S7</f>
        <v>4 : 6</v>
      </c>
      <c r="U7" s="25">
        <f>SUMIF($D$3:$D$31,$P7,$G$3:$G$31)+SUMIF($F$3:$F$31,$P7,$H$3:$H$31)</f>
        <v>7</v>
      </c>
      <c r="V7" s="26">
        <f>SUMIF($D$3:$D$31,$P7,$H$3:$H$31)+SUMIF($F$3:$F$31,$P7,$G$3:$G$31)</f>
        <v>13</v>
      </c>
      <c r="W7" s="23" t="str">
        <f>U7&amp;" : "&amp;V7</f>
        <v>7 : 13</v>
      </c>
      <c r="X7" s="25">
        <f>SUMIF($D$3:$D$31,$P7,$I$3:$I$31)+SUMIF($F$3:$F$31,$P7,$J$3:$J$31)</f>
        <v>432</v>
      </c>
      <c r="Y7" s="26">
        <f>SUMIF($D$3:$D$31,$P7,$J$3:$J$31)+SUMIF($F$3:$F$31,$P7,$I$3:$I$31)</f>
        <v>459</v>
      </c>
      <c r="Z7" s="23" t="str">
        <f>X7&amp;" : "&amp;Y7</f>
        <v>432 : 459</v>
      </c>
      <c r="AA7" s="27">
        <f>R7*1000000000+(R7-S7)*10000000+(U7-V7)*10000+(X7-Y7)-ROW(P7)/100</f>
        <v>3979939972.93</v>
      </c>
      <c r="AB7" s="17"/>
      <c r="AC7" s="28">
        <v>5</v>
      </c>
      <c r="AD7" s="29" t="str">
        <f>VLOOKUP($AC7,$O$3:$Z$7,2,FALSE)</f>
        <v>MTV SG Bors/Hars/Acht I</v>
      </c>
      <c r="AE7" s="28">
        <f>VLOOKUP($AC7,$O$3:$Z$7,3,FALSE)</f>
        <v>6</v>
      </c>
      <c r="AF7" s="28" t="str">
        <f>VLOOKUP($AC7,$O$3:$Z$7,6,FALSE)</f>
        <v>4 : 8</v>
      </c>
      <c r="AG7" s="28" t="str">
        <f>VLOOKUP($AC7,$O$3:$Z$7,9,FALSE)</f>
        <v>9 : 15</v>
      </c>
      <c r="AH7" s="28" t="str">
        <f>VLOOKUP($AC7,$O$3:$Z$7,12,FALSE)</f>
        <v>517 : 537</v>
      </c>
      <c r="AI7"/>
    </row>
    <row r="8" spans="1:35" ht="12.75" customHeight="1">
      <c r="A8" s="80"/>
      <c r="B8" s="79"/>
      <c r="C8" s="80"/>
      <c r="D8" s="81"/>
      <c r="E8" s="81"/>
      <c r="F8" s="81"/>
      <c r="G8" s="82"/>
      <c r="H8" s="103"/>
      <c r="I8" s="104"/>
      <c r="J8" s="82"/>
      <c r="K8" s="32"/>
      <c r="L8" s="30"/>
      <c r="M8" s="31"/>
      <c r="N8" s="33"/>
      <c r="O8" s="3"/>
      <c r="P8" s="3"/>
      <c r="Q8" s="3"/>
      <c r="R8" s="3"/>
      <c r="S8" s="3"/>
      <c r="T8" s="3"/>
      <c r="U8" s="3"/>
      <c r="V8" s="3"/>
      <c r="W8" s="3"/>
      <c r="X8" s="17"/>
      <c r="Y8" s="17"/>
      <c r="Z8" s="17"/>
      <c r="AA8" s="17"/>
      <c r="AB8" s="17"/>
      <c r="AC8" s="34"/>
      <c r="AI8"/>
    </row>
    <row r="9" spans="1:34" ht="12.75" customHeight="1">
      <c r="A9" s="97">
        <v>5</v>
      </c>
      <c r="B9" s="74" t="s">
        <v>25</v>
      </c>
      <c r="C9" s="75">
        <v>43795</v>
      </c>
      <c r="D9" s="106" t="str">
        <f>D35</f>
        <v>SV Wendhausen</v>
      </c>
      <c r="E9" s="77" t="s">
        <v>24</v>
      </c>
      <c r="F9" s="76" t="str">
        <f>D37</f>
        <v>CVJM Sarstedt</v>
      </c>
      <c r="G9" s="78">
        <v>3</v>
      </c>
      <c r="H9" s="101">
        <v>1</v>
      </c>
      <c r="I9" s="102">
        <v>101</v>
      </c>
      <c r="J9" s="78">
        <v>81</v>
      </c>
      <c r="K9" s="5"/>
      <c r="L9" s="20">
        <f>IF($G9+$H9&lt;&gt;4,"",IF($G9&gt;$H9,2,IF($G9=$H9,1,0)))</f>
        <v>2</v>
      </c>
      <c r="M9" s="21">
        <f>IF($G9+$H9&lt;&gt;4,"",2-$L9)</f>
        <v>0</v>
      </c>
      <c r="N9" s="22">
        <f t="shared" si="0"/>
      </c>
      <c r="O9" s="3"/>
      <c r="P9" s="3"/>
      <c r="Q9" s="3"/>
      <c r="R9" s="3"/>
      <c r="S9" s="3"/>
      <c r="T9" s="3"/>
      <c r="U9" s="3"/>
      <c r="V9" s="3"/>
      <c r="W9" s="3"/>
      <c r="X9" s="17"/>
      <c r="Y9" s="17"/>
      <c r="Z9" s="17"/>
      <c r="AA9" s="17"/>
      <c r="AB9" s="17"/>
      <c r="AC9" s="35" t="s">
        <v>28</v>
      </c>
      <c r="AD9" s="34"/>
      <c r="AE9" s="34"/>
      <c r="AF9" s="36">
        <f>SUM(R$3:S7)/2</f>
        <v>30</v>
      </c>
      <c r="AG9" s="36">
        <f>SUM(U$3:V7)/2</f>
        <v>60</v>
      </c>
      <c r="AH9" s="36">
        <f>SUM(X$3:Y7)/2</f>
        <v>2600</v>
      </c>
    </row>
    <row r="10" spans="1:29" ht="12.75" customHeight="1">
      <c r="A10" s="97">
        <v>6</v>
      </c>
      <c r="B10" s="74" t="s">
        <v>27</v>
      </c>
      <c r="C10" s="75">
        <v>43797</v>
      </c>
      <c r="D10" s="76" t="str">
        <f>D38</f>
        <v>TSV Sibbesse I</v>
      </c>
      <c r="E10" s="77" t="s">
        <v>24</v>
      </c>
      <c r="F10" s="76" t="str">
        <f>D39</f>
        <v>TSV Brunkensen II</v>
      </c>
      <c r="G10" s="78">
        <v>4</v>
      </c>
      <c r="H10" s="101">
        <v>0</v>
      </c>
      <c r="I10" s="102">
        <v>100</v>
      </c>
      <c r="J10" s="78">
        <v>75</v>
      </c>
      <c r="K10" s="22"/>
      <c r="L10" s="20">
        <f>IF($G10+$H10&lt;&gt;4,"",IF($G10&gt;$H10,2,IF($G10=$H10,1,0)))</f>
        <v>2</v>
      </c>
      <c r="M10" s="21">
        <f>IF($G10+$H10&lt;&gt;4,"",2-$L10)</f>
        <v>0</v>
      </c>
      <c r="N10" s="22">
        <f t="shared" si="0"/>
      </c>
      <c r="O10" s="3"/>
      <c r="P10" s="3"/>
      <c r="Q10" s="3"/>
      <c r="R10" s="3"/>
      <c r="S10" s="3"/>
      <c r="T10" s="3"/>
      <c r="U10" s="3"/>
      <c r="V10" s="3"/>
      <c r="W10" s="3"/>
      <c r="X10" s="17"/>
      <c r="Y10" s="17"/>
      <c r="Z10" s="17"/>
      <c r="AA10" s="17"/>
      <c r="AB10" s="17"/>
      <c r="AC10" s="34"/>
    </row>
    <row r="11" spans="1:28" ht="12.75" customHeight="1">
      <c r="A11" s="80"/>
      <c r="B11" s="79"/>
      <c r="C11" s="80"/>
      <c r="D11" s="81"/>
      <c r="E11" s="81"/>
      <c r="F11" s="81"/>
      <c r="G11" s="82"/>
      <c r="H11" s="103"/>
      <c r="I11" s="104"/>
      <c r="J11" s="82"/>
      <c r="K11" s="32"/>
      <c r="L11" s="30"/>
      <c r="M11" s="31"/>
      <c r="N11" s="33"/>
      <c r="O11" s="3"/>
      <c r="P11" s="3"/>
      <c r="Q11" s="3"/>
      <c r="R11" s="3"/>
      <c r="S11" s="3"/>
      <c r="T11" s="3"/>
      <c r="U11" s="3"/>
      <c r="V11" s="3"/>
      <c r="W11" s="3"/>
      <c r="X11" s="17"/>
      <c r="Y11" s="17"/>
      <c r="Z11" s="17"/>
      <c r="AA11" s="17"/>
      <c r="AB11" s="17"/>
    </row>
    <row r="12" spans="1:28" ht="12.75" customHeight="1">
      <c r="A12" s="97">
        <v>7</v>
      </c>
      <c r="B12" s="74" t="s">
        <v>25</v>
      </c>
      <c r="C12" s="75">
        <v>43816</v>
      </c>
      <c r="D12" s="76" t="str">
        <f>D36</f>
        <v>MTV SG Bors/Hars/Acht I</v>
      </c>
      <c r="E12" s="77" t="s">
        <v>24</v>
      </c>
      <c r="F12" s="76" t="str">
        <f>D38</f>
        <v>TSV Sibbesse I</v>
      </c>
      <c r="G12" s="78">
        <v>2</v>
      </c>
      <c r="H12" s="101">
        <v>2</v>
      </c>
      <c r="I12" s="102">
        <v>92</v>
      </c>
      <c r="J12" s="78">
        <v>80</v>
      </c>
      <c r="K12" s="5"/>
      <c r="L12" s="20">
        <f>IF($G12+$H12&lt;&gt;4,"",IF($G12&gt;$H12,2,IF($G12=$H12,1,0)))</f>
        <v>1</v>
      </c>
      <c r="M12" s="21">
        <f>IF($G12+$H12&lt;&gt;4,"",2-$L12)</f>
        <v>1</v>
      </c>
      <c r="N12" s="22">
        <f t="shared" si="0"/>
      </c>
      <c r="O12" s="3"/>
      <c r="P12" s="3"/>
      <c r="Q12" s="3"/>
      <c r="R12" s="3"/>
      <c r="S12" s="3"/>
      <c r="T12" s="3"/>
      <c r="U12" s="3"/>
      <c r="V12" s="3"/>
      <c r="W12" s="3"/>
      <c r="X12" s="17"/>
      <c r="Y12" s="17"/>
      <c r="Z12" s="17"/>
      <c r="AA12" s="17"/>
      <c r="AB12" s="17"/>
    </row>
    <row r="13" spans="1:28" ht="12.75" customHeight="1">
      <c r="A13" s="97">
        <v>8</v>
      </c>
      <c r="B13" s="74" t="s">
        <v>25</v>
      </c>
      <c r="C13" s="75">
        <v>43816</v>
      </c>
      <c r="D13" s="76" t="str">
        <f>D37</f>
        <v>CVJM Sarstedt</v>
      </c>
      <c r="E13" s="77" t="s">
        <v>24</v>
      </c>
      <c r="F13" s="76" t="str">
        <f>D39</f>
        <v>TSV Brunkensen II</v>
      </c>
      <c r="G13" s="78">
        <v>4</v>
      </c>
      <c r="H13" s="101">
        <v>0</v>
      </c>
      <c r="I13" s="102">
        <v>102</v>
      </c>
      <c r="J13" s="78">
        <v>87</v>
      </c>
      <c r="K13" s="22"/>
      <c r="L13" s="20">
        <f>IF($G13+$H13&lt;&gt;4,"",IF($G13&gt;$H13,2,IF($G13=$H13,1,0)))</f>
        <v>2</v>
      </c>
      <c r="M13" s="21">
        <f>IF($G13+$H13&lt;&gt;4,"",2-$L13)</f>
        <v>0</v>
      </c>
      <c r="N13" s="22">
        <f t="shared" si="0"/>
      </c>
      <c r="O13" s="3"/>
      <c r="P13" s="3"/>
      <c r="Q13" s="3"/>
      <c r="R13" s="3"/>
      <c r="S13" s="3"/>
      <c r="T13" s="3"/>
      <c r="U13" s="3"/>
      <c r="V13" s="3"/>
      <c r="W13" s="3"/>
      <c r="X13" s="17"/>
      <c r="Y13" s="17"/>
      <c r="Z13" s="17"/>
      <c r="AA13" s="17"/>
      <c r="AB13" s="17"/>
    </row>
    <row r="14" spans="1:28" ht="12.75" customHeight="1">
      <c r="A14" s="80"/>
      <c r="B14" s="79"/>
      <c r="C14" s="80"/>
      <c r="D14" s="81"/>
      <c r="E14" s="81"/>
      <c r="F14" s="81"/>
      <c r="G14" s="82"/>
      <c r="H14" s="103"/>
      <c r="I14" s="104"/>
      <c r="J14" s="82"/>
      <c r="K14" s="32"/>
      <c r="L14" s="30"/>
      <c r="M14" s="31"/>
      <c r="N14" s="33"/>
      <c r="O14" s="3"/>
      <c r="P14" s="3"/>
      <c r="Q14" s="3"/>
      <c r="R14" s="3"/>
      <c r="S14" s="3"/>
      <c r="T14" s="3"/>
      <c r="U14" s="3"/>
      <c r="V14" s="3"/>
      <c r="W14" s="3"/>
      <c r="X14" s="17"/>
      <c r="Y14" s="17"/>
      <c r="Z14" s="17"/>
      <c r="AA14" s="17"/>
      <c r="AB14" s="17"/>
    </row>
    <row r="15" spans="1:28" ht="12.75" customHeight="1">
      <c r="A15" s="97">
        <v>9</v>
      </c>
      <c r="B15" s="74" t="s">
        <v>27</v>
      </c>
      <c r="C15" s="75">
        <v>43888</v>
      </c>
      <c r="D15" s="76" t="str">
        <f>D39</f>
        <v>TSV Brunkensen II</v>
      </c>
      <c r="E15" s="77" t="s">
        <v>24</v>
      </c>
      <c r="F15" s="76" t="str">
        <f>D36</f>
        <v>MTV SG Bors/Hars/Acht I</v>
      </c>
      <c r="G15" s="78">
        <v>4</v>
      </c>
      <c r="H15" s="101">
        <v>0</v>
      </c>
      <c r="I15" s="102">
        <v>100</v>
      </c>
      <c r="J15" s="78">
        <v>77</v>
      </c>
      <c r="K15" s="5"/>
      <c r="L15" s="20">
        <f>IF($G15+$H15&lt;&gt;4,"",IF($G15&gt;$H15,2,IF($G15=$H15,1,0)))</f>
        <v>2</v>
      </c>
      <c r="M15" s="21">
        <f>IF($G15+$H15&lt;&gt;4,"",2-$L15)</f>
        <v>0</v>
      </c>
      <c r="N15" s="22">
        <f t="shared" si="0"/>
      </c>
      <c r="O15" s="3"/>
      <c r="P15" s="3"/>
      <c r="Q15" s="3"/>
      <c r="R15" s="3"/>
      <c r="S15" s="3"/>
      <c r="T15" s="3"/>
      <c r="U15" s="3"/>
      <c r="V15" s="3"/>
      <c r="W15" s="3"/>
      <c r="X15" s="17"/>
      <c r="Y15" s="17"/>
      <c r="Z15" s="17"/>
      <c r="AA15" s="17"/>
      <c r="AB15" s="17"/>
    </row>
    <row r="16" spans="1:28" ht="12.75" customHeight="1">
      <c r="A16" s="97">
        <v>10</v>
      </c>
      <c r="B16" s="74" t="s">
        <v>27</v>
      </c>
      <c r="C16" s="75">
        <v>43846</v>
      </c>
      <c r="D16" s="76" t="str">
        <f>D38</f>
        <v>TSV Sibbesse I</v>
      </c>
      <c r="E16" s="77" t="s">
        <v>24</v>
      </c>
      <c r="F16" s="76" t="str">
        <f>D35</f>
        <v>SV Wendhausen</v>
      </c>
      <c r="G16" s="78">
        <v>0</v>
      </c>
      <c r="H16" s="101">
        <v>4</v>
      </c>
      <c r="I16" s="102">
        <v>61</v>
      </c>
      <c r="J16" s="78">
        <v>100</v>
      </c>
      <c r="K16" s="22"/>
      <c r="L16" s="20">
        <f>IF($G16+$H16&lt;&gt;4,"",IF($G16&gt;$H16,2,IF($G16=$H16,1,0)))</f>
        <v>0</v>
      </c>
      <c r="M16" s="21">
        <f>IF($G16+$H16&lt;&gt;4,"",2-$L16)</f>
        <v>2</v>
      </c>
      <c r="N16" s="22">
        <f t="shared" si="0"/>
      </c>
      <c r="O16" s="3"/>
      <c r="P16" s="3"/>
      <c r="Q16" s="3"/>
      <c r="R16" s="3"/>
      <c r="S16" s="3"/>
      <c r="T16" s="3"/>
      <c r="U16" s="3"/>
      <c r="V16" s="3"/>
      <c r="W16" s="3"/>
      <c r="X16" s="17"/>
      <c r="Y16" s="17"/>
      <c r="Z16" s="17"/>
      <c r="AA16" s="17"/>
      <c r="AB16" s="17"/>
    </row>
    <row r="17" spans="1:28" ht="12.75" customHeight="1">
      <c r="A17" s="80"/>
      <c r="B17" s="79"/>
      <c r="C17" s="80"/>
      <c r="D17" s="81"/>
      <c r="E17" s="81"/>
      <c r="F17" s="81"/>
      <c r="G17" s="82"/>
      <c r="H17" s="103"/>
      <c r="I17" s="104"/>
      <c r="J17" s="82"/>
      <c r="K17" s="32"/>
      <c r="L17" s="30"/>
      <c r="M17" s="31"/>
      <c r="N17" s="33"/>
      <c r="O17" s="3"/>
      <c r="P17" s="3"/>
      <c r="Q17" s="3"/>
      <c r="R17" s="3"/>
      <c r="S17" s="3"/>
      <c r="T17" s="3"/>
      <c r="U17" s="3"/>
      <c r="V17" s="3"/>
      <c r="W17" s="3"/>
      <c r="X17" s="17"/>
      <c r="Y17" s="17"/>
      <c r="Z17" s="17"/>
      <c r="AA17" s="17"/>
      <c r="AB17" s="17"/>
    </row>
    <row r="18" spans="1:28" ht="12.75" customHeight="1">
      <c r="A18" s="97">
        <v>11</v>
      </c>
      <c r="B18" s="74" t="s">
        <v>25</v>
      </c>
      <c r="C18" s="75">
        <v>43858</v>
      </c>
      <c r="D18" s="76" t="str">
        <f>F3</f>
        <v>MTV SG Bors/Hars/Acht I</v>
      </c>
      <c r="E18" s="77" t="s">
        <v>24</v>
      </c>
      <c r="F18" s="76" t="str">
        <f>D3</f>
        <v>SV Wendhausen</v>
      </c>
      <c r="G18" s="78">
        <v>1</v>
      </c>
      <c r="H18" s="101">
        <v>3</v>
      </c>
      <c r="I18" s="102">
        <v>75</v>
      </c>
      <c r="J18" s="78">
        <v>89</v>
      </c>
      <c r="K18" s="5"/>
      <c r="L18" s="20">
        <f>IF($G18+$H18&lt;&gt;4,"",IF($G18&gt;$H18,2,IF($G18=$H18,1,0)))</f>
        <v>0</v>
      </c>
      <c r="M18" s="21">
        <f>IF($G18+$H18&lt;&gt;4,"",2-$L18)</f>
        <v>2</v>
      </c>
      <c r="N18" s="22">
        <f t="shared" si="0"/>
      </c>
      <c r="O18" s="3"/>
      <c r="P18" s="3"/>
      <c r="Q18" s="3"/>
      <c r="R18" s="3"/>
      <c r="S18" s="3"/>
      <c r="T18" s="3"/>
      <c r="U18" s="3"/>
      <c r="V18" s="3"/>
      <c r="W18" s="3"/>
      <c r="X18" s="17"/>
      <c r="Y18" s="17"/>
      <c r="Z18" s="17"/>
      <c r="AA18" s="17"/>
      <c r="AB18" s="17"/>
    </row>
    <row r="19" spans="1:28" ht="12.75" customHeight="1">
      <c r="A19" s="97">
        <v>12</v>
      </c>
      <c r="B19" s="74" t="s">
        <v>27</v>
      </c>
      <c r="C19" s="75">
        <v>43860</v>
      </c>
      <c r="D19" s="76" t="str">
        <f>F4</f>
        <v>TSV Sibbesse I</v>
      </c>
      <c r="E19" s="77" t="s">
        <v>24</v>
      </c>
      <c r="F19" s="76" t="str">
        <f>D4</f>
        <v>CVJM Sarstedt</v>
      </c>
      <c r="G19" s="78">
        <v>1</v>
      </c>
      <c r="H19" s="101">
        <v>3</v>
      </c>
      <c r="I19" s="102">
        <v>71</v>
      </c>
      <c r="J19" s="78">
        <v>87</v>
      </c>
      <c r="K19" s="22"/>
      <c r="L19" s="20">
        <f>IF($G19+$H19&lt;&gt;4,"",IF($G19&gt;$H19,2,IF($G19=$H19,1,0)))</f>
        <v>0</v>
      </c>
      <c r="M19" s="21">
        <f>IF($G19+$H19&lt;&gt;4,"",2-$L19)</f>
        <v>2</v>
      </c>
      <c r="N19" s="22">
        <f t="shared" si="0"/>
      </c>
      <c r="O19" s="3"/>
      <c r="P19" s="3"/>
      <c r="Q19" s="3"/>
      <c r="R19" s="3"/>
      <c r="S19" s="3"/>
      <c r="T19" s="3"/>
      <c r="U19" s="3"/>
      <c r="V19" s="3"/>
      <c r="W19" s="3"/>
      <c r="X19" s="17"/>
      <c r="Y19" s="17"/>
      <c r="Z19" s="17"/>
      <c r="AA19" s="17"/>
      <c r="AB19" s="17"/>
    </row>
    <row r="20" spans="1:28" ht="12.75" customHeight="1">
      <c r="A20" s="80"/>
      <c r="B20" s="79"/>
      <c r="C20" s="80"/>
      <c r="D20" s="81"/>
      <c r="E20" s="81"/>
      <c r="F20" s="81"/>
      <c r="G20" s="82"/>
      <c r="H20" s="103"/>
      <c r="I20" s="104"/>
      <c r="J20" s="82"/>
      <c r="K20" s="32"/>
      <c r="L20" s="30"/>
      <c r="M20" s="31"/>
      <c r="N20" s="33"/>
      <c r="O20" s="3"/>
      <c r="P20" s="3"/>
      <c r="Q20" s="3"/>
      <c r="R20" s="3"/>
      <c r="S20" s="3"/>
      <c r="T20" s="3"/>
      <c r="U20" s="3"/>
      <c r="V20" s="3"/>
      <c r="W20" s="3"/>
      <c r="X20" s="17"/>
      <c r="Y20" s="17"/>
      <c r="Z20" s="17"/>
      <c r="AA20" s="17"/>
      <c r="AB20" s="17"/>
    </row>
    <row r="21" spans="1:14" ht="12.75" customHeight="1">
      <c r="A21" s="97">
        <v>13</v>
      </c>
      <c r="B21" s="74" t="s">
        <v>27</v>
      </c>
      <c r="C21" s="75">
        <v>43874</v>
      </c>
      <c r="D21" s="106" t="str">
        <f>F6</f>
        <v>SV Wendhausen</v>
      </c>
      <c r="E21" s="77" t="s">
        <v>24</v>
      </c>
      <c r="F21" s="76" t="str">
        <f>D6</f>
        <v>TSV Brunkensen II</v>
      </c>
      <c r="G21" s="78">
        <v>4</v>
      </c>
      <c r="H21" s="101">
        <v>0</v>
      </c>
      <c r="I21" s="102">
        <v>100</v>
      </c>
      <c r="J21" s="78">
        <v>77</v>
      </c>
      <c r="K21" s="5"/>
      <c r="L21" s="20">
        <f>IF($G21+$H21&lt;&gt;4,"",IF($G21&gt;$H21,2,IF($G21=$H21,1,0)))</f>
        <v>2</v>
      </c>
      <c r="M21" s="21">
        <f>IF($G21+$H21&lt;&gt;4,"",2-$L21)</f>
        <v>0</v>
      </c>
      <c r="N21" s="22">
        <f t="shared" si="0"/>
      </c>
    </row>
    <row r="22" spans="1:34" ht="12.75" customHeight="1">
      <c r="A22" s="97">
        <v>14</v>
      </c>
      <c r="B22" s="74" t="s">
        <v>25</v>
      </c>
      <c r="C22" s="75">
        <v>43872</v>
      </c>
      <c r="D22" s="76" t="str">
        <f>F7</f>
        <v>CVJM Sarstedt</v>
      </c>
      <c r="E22" s="77" t="s">
        <v>24</v>
      </c>
      <c r="F22" s="76" t="str">
        <f>D7</f>
        <v>MTV SG Bors/Hars/Acht I</v>
      </c>
      <c r="G22" s="78">
        <v>1</v>
      </c>
      <c r="H22" s="101">
        <v>3</v>
      </c>
      <c r="I22" s="102">
        <v>88</v>
      </c>
      <c r="J22" s="78">
        <v>98</v>
      </c>
      <c r="K22" s="22"/>
      <c r="L22" s="20">
        <f>IF($G22+$H22&lt;&gt;4,"",IF($G22&gt;$H22,2,IF($G22=$H22,1,0)))</f>
        <v>0</v>
      </c>
      <c r="M22" s="21">
        <f>IF($G22+$H22&lt;&gt;4,"",2-$L22)</f>
        <v>2</v>
      </c>
      <c r="N22" s="22">
        <f t="shared" si="0"/>
      </c>
      <c r="O22" s="37"/>
      <c r="P22" s="37"/>
      <c r="Q22" s="37"/>
      <c r="R22" s="37"/>
      <c r="S22" s="37"/>
      <c r="T22" s="37"/>
      <c r="U22" s="37"/>
      <c r="V22" s="37"/>
      <c r="W22" s="37"/>
      <c r="X22" s="38"/>
      <c r="Y22" s="38"/>
      <c r="Z22" s="38"/>
      <c r="AA22" s="38"/>
      <c r="AB22" s="38"/>
      <c r="AC22" s="39"/>
      <c r="AD22" s="39"/>
      <c r="AE22" s="39"/>
      <c r="AF22" s="39"/>
      <c r="AG22" s="39"/>
      <c r="AH22" s="39"/>
    </row>
    <row r="23" spans="1:14" ht="12.75" customHeight="1">
      <c r="A23" s="80"/>
      <c r="B23" s="79"/>
      <c r="C23" s="80"/>
      <c r="D23" s="81"/>
      <c r="E23" s="81"/>
      <c r="F23" s="81"/>
      <c r="G23" s="82"/>
      <c r="H23" s="103"/>
      <c r="I23" s="104"/>
      <c r="J23" s="82"/>
      <c r="K23" s="32"/>
      <c r="L23" s="30"/>
      <c r="M23" s="31"/>
      <c r="N23" s="33"/>
    </row>
    <row r="24" spans="1:14" ht="12.75" customHeight="1">
      <c r="A24" s="97">
        <v>15</v>
      </c>
      <c r="B24" s="74" t="s">
        <v>25</v>
      </c>
      <c r="C24" s="75">
        <v>43893</v>
      </c>
      <c r="D24" s="76" t="str">
        <f>F9</f>
        <v>CVJM Sarstedt</v>
      </c>
      <c r="E24" s="77" t="s">
        <v>24</v>
      </c>
      <c r="F24" s="76" t="str">
        <f>D9</f>
        <v>SV Wendhausen</v>
      </c>
      <c r="G24" s="78">
        <v>1</v>
      </c>
      <c r="H24" s="101">
        <v>3</v>
      </c>
      <c r="I24" s="102">
        <v>68</v>
      </c>
      <c r="J24" s="78">
        <v>98</v>
      </c>
      <c r="K24" s="5"/>
      <c r="L24" s="20">
        <f>IF($G24+$H24&lt;&gt;4,"",IF($G24&gt;$H24,2,IF($G24=$H24,1,0)))</f>
        <v>0</v>
      </c>
      <c r="M24" s="21">
        <f>IF($G24+$H24&lt;&gt;4,"",2-$L24)</f>
        <v>2</v>
      </c>
      <c r="N24" s="22">
        <f t="shared" si="0"/>
      </c>
    </row>
    <row r="25" spans="1:14" ht="12.75" customHeight="1">
      <c r="A25" s="97">
        <v>16</v>
      </c>
      <c r="B25" s="74" t="s">
        <v>25</v>
      </c>
      <c r="C25" s="75">
        <v>43900</v>
      </c>
      <c r="D25" s="76" t="str">
        <f>F10</f>
        <v>TSV Brunkensen II</v>
      </c>
      <c r="E25" s="77" t="s">
        <v>24</v>
      </c>
      <c r="F25" s="76" t="str">
        <f>D10</f>
        <v>TSV Sibbesse I</v>
      </c>
      <c r="G25" s="78">
        <v>3</v>
      </c>
      <c r="H25" s="101">
        <v>1</v>
      </c>
      <c r="I25" s="102">
        <v>93</v>
      </c>
      <c r="J25" s="78">
        <v>80</v>
      </c>
      <c r="K25" s="22"/>
      <c r="L25" s="20">
        <f>IF($G25+$H25&lt;&gt;4,"",IF($G25&gt;$H25,2,IF($G25=$H25,1,0)))</f>
        <v>2</v>
      </c>
      <c r="M25" s="21">
        <f>IF($G25+$H25&lt;&gt;4,"",2-$L25)</f>
        <v>0</v>
      </c>
      <c r="N25" s="22">
        <f t="shared" si="0"/>
      </c>
    </row>
    <row r="26" spans="1:14" ht="12.75" customHeight="1">
      <c r="A26" s="80"/>
      <c r="B26" s="83"/>
      <c r="C26" s="84"/>
      <c r="D26" s="81"/>
      <c r="E26" s="81"/>
      <c r="F26" s="81"/>
      <c r="G26" s="82"/>
      <c r="H26" s="103"/>
      <c r="I26" s="104"/>
      <c r="J26" s="82"/>
      <c r="K26" s="32"/>
      <c r="L26" s="30"/>
      <c r="M26" s="31"/>
      <c r="N26" s="33"/>
    </row>
    <row r="27" spans="1:14" ht="12.75" customHeight="1">
      <c r="A27" s="97">
        <v>17</v>
      </c>
      <c r="B27" s="74" t="s">
        <v>27</v>
      </c>
      <c r="C27" s="75">
        <v>43965</v>
      </c>
      <c r="D27" s="76" t="str">
        <f>F12</f>
        <v>TSV Sibbesse I</v>
      </c>
      <c r="E27" s="77" t="s">
        <v>24</v>
      </c>
      <c r="F27" s="76" t="str">
        <f>D12</f>
        <v>MTV SG Bors/Hars/Acht I</v>
      </c>
      <c r="G27" s="78"/>
      <c r="H27" s="101"/>
      <c r="I27" s="102"/>
      <c r="J27" s="78"/>
      <c r="K27" s="5"/>
      <c r="L27" s="20">
        <f>IF($G27+$H27&lt;&gt;4,"",IF($G27&gt;$H27,2,IF($G27=$H27,1,0)))</f>
      </c>
      <c r="M27" s="21">
        <f>IF($G27+$H27&lt;&gt;4,"",2-$L27)</f>
      </c>
      <c r="N27" s="22">
        <f t="shared" si="0"/>
      </c>
    </row>
    <row r="28" spans="1:14" ht="12.75" customHeight="1">
      <c r="A28" s="97">
        <v>18</v>
      </c>
      <c r="B28" s="74" t="s">
        <v>25</v>
      </c>
      <c r="C28" s="75">
        <v>43963</v>
      </c>
      <c r="D28" s="76" t="str">
        <f>F13</f>
        <v>TSV Brunkensen II</v>
      </c>
      <c r="E28" s="77" t="s">
        <v>24</v>
      </c>
      <c r="F28" s="76" t="str">
        <f>D13</f>
        <v>CVJM Sarstedt</v>
      </c>
      <c r="G28" s="78"/>
      <c r="H28" s="101"/>
      <c r="I28" s="102"/>
      <c r="J28" s="78"/>
      <c r="K28" s="22"/>
      <c r="L28" s="20">
        <f>IF($G28+$H28&lt;&gt;4,"",IF($G28&gt;$H28,2,IF($G28=$H28,1,0)))</f>
      </c>
      <c r="M28" s="21">
        <f>IF($G28+$H28&lt;&gt;4,"",2-$L28)</f>
      </c>
      <c r="N28" s="22">
        <f t="shared" si="0"/>
      </c>
    </row>
    <row r="29" spans="1:14" ht="12.75" customHeight="1">
      <c r="A29" s="80"/>
      <c r="B29" s="79"/>
      <c r="C29" s="80"/>
      <c r="D29" s="81"/>
      <c r="E29" s="81"/>
      <c r="F29" s="81"/>
      <c r="G29" s="82"/>
      <c r="H29" s="103"/>
      <c r="I29" s="104"/>
      <c r="J29" s="82"/>
      <c r="K29" s="32"/>
      <c r="L29" s="30"/>
      <c r="M29" s="31"/>
      <c r="N29" s="33"/>
    </row>
    <row r="30" spans="1:14" ht="12.75" customHeight="1">
      <c r="A30" s="97">
        <v>19</v>
      </c>
      <c r="B30" s="74" t="s">
        <v>25</v>
      </c>
      <c r="C30" s="75">
        <v>43949</v>
      </c>
      <c r="D30" s="76" t="str">
        <f>F15</f>
        <v>MTV SG Bors/Hars/Acht I</v>
      </c>
      <c r="E30" s="77" t="s">
        <v>24</v>
      </c>
      <c r="F30" s="76" t="str">
        <f>D15</f>
        <v>TSV Brunkensen II</v>
      </c>
      <c r="G30" s="78"/>
      <c r="H30" s="101"/>
      <c r="I30" s="102"/>
      <c r="J30" s="78"/>
      <c r="K30" s="5"/>
      <c r="L30" s="20">
        <f>IF($G30+$H30&lt;&gt;4,"",IF($G30&gt;$H30,2,IF($G30=$H30,1,0)))</f>
      </c>
      <c r="M30" s="21">
        <f>IF($G30+$H30&lt;&gt;4,"",2-$L30)</f>
      </c>
      <c r="N30" s="22">
        <f t="shared" si="0"/>
      </c>
    </row>
    <row r="31" spans="1:14" ht="12.75" customHeight="1">
      <c r="A31" s="97">
        <v>20</v>
      </c>
      <c r="B31" s="74" t="s">
        <v>27</v>
      </c>
      <c r="C31" s="75">
        <v>43951</v>
      </c>
      <c r="D31" s="106" t="str">
        <f>F16</f>
        <v>SV Wendhausen</v>
      </c>
      <c r="E31" s="77" t="s">
        <v>24</v>
      </c>
      <c r="F31" s="76" t="str">
        <f>D16</f>
        <v>TSV Sibbesse I</v>
      </c>
      <c r="G31" s="78"/>
      <c r="H31" s="101"/>
      <c r="I31" s="102"/>
      <c r="J31" s="78"/>
      <c r="K31" s="22"/>
      <c r="L31" s="20">
        <f>IF($G31+$H31&lt;&gt;4,"",IF($G31&gt;$H31,2,IF($G31=$H31,1,0)))</f>
      </c>
      <c r="M31" s="21">
        <f>IF($G31+$H31&lt;&gt;4,"",2-$L31)</f>
      </c>
      <c r="N31" s="22">
        <f t="shared" si="0"/>
      </c>
    </row>
    <row r="32" spans="1:13" ht="12.75" customHeight="1">
      <c r="A32" s="40"/>
      <c r="B32" s="40"/>
      <c r="C32" s="41"/>
      <c r="D32" s="42"/>
      <c r="E32" s="43"/>
      <c r="F32" s="44"/>
      <c r="L32" s="3"/>
      <c r="M32" s="3"/>
    </row>
    <row r="33" spans="1:35" s="49" customFormat="1" ht="12.75" customHeight="1">
      <c r="A33" s="36" t="s">
        <v>28</v>
      </c>
      <c r="B33" s="45"/>
      <c r="C33" s="45"/>
      <c r="D33" s="46"/>
      <c r="E33" s="47"/>
      <c r="F33" s="46"/>
      <c r="G33" s="107">
        <f>SUM(G3:H32)</f>
        <v>60</v>
      </c>
      <c r="H33" s="107"/>
      <c r="I33" s="107">
        <f>SUM(I3:J32)</f>
        <v>2600</v>
      </c>
      <c r="J33" s="107"/>
      <c r="K33" s="48"/>
      <c r="L33" s="107">
        <f>SUM(L3:M32)</f>
        <v>30</v>
      </c>
      <c r="M33" s="107"/>
      <c r="N33" s="38"/>
      <c r="O33" s="4"/>
      <c r="P33" s="4"/>
      <c r="Q33" s="4"/>
      <c r="R33" s="4"/>
      <c r="S33" s="4"/>
      <c r="T33" s="4"/>
      <c r="U33" s="4"/>
      <c r="V33" s="4"/>
      <c r="W33" s="4"/>
      <c r="X33" s="5"/>
      <c r="Y33" s="5"/>
      <c r="Z33" s="5"/>
      <c r="AA33" s="5"/>
      <c r="AB33" s="5"/>
      <c r="AC33" s="6"/>
      <c r="AD33" s="6"/>
      <c r="AE33" s="6"/>
      <c r="AF33" s="6"/>
      <c r="AG33" s="6"/>
      <c r="AH33" s="6"/>
      <c r="AI33" s="39"/>
    </row>
    <row r="34" spans="4:6" ht="12.75">
      <c r="D34" s="44"/>
      <c r="E34" s="43"/>
      <c r="F34" s="44"/>
    </row>
    <row r="35" spans="1:34" ht="12.75">
      <c r="A35" s="100" t="s">
        <v>29</v>
      </c>
      <c r="B35" s="50"/>
      <c r="C35" s="51"/>
      <c r="D35" s="52" t="s">
        <v>47</v>
      </c>
      <c r="E35" s="43"/>
      <c r="F35" s="44"/>
      <c r="AD35" s="53" t="s">
        <v>31</v>
      </c>
      <c r="AE35" s="54"/>
      <c r="AF35" s="54"/>
      <c r="AG35" s="54"/>
      <c r="AH35" s="55"/>
    </row>
    <row r="36" spans="1:34" ht="12.75">
      <c r="A36" s="56"/>
      <c r="B36" s="56"/>
      <c r="C36" s="57"/>
      <c r="D36" s="52" t="s">
        <v>48</v>
      </c>
      <c r="E36" s="43"/>
      <c r="F36" s="44"/>
      <c r="AD36" s="58" t="s">
        <v>33</v>
      </c>
      <c r="AE36" s="59"/>
      <c r="AF36" s="59"/>
      <c r="AG36" s="59"/>
      <c r="AH36" s="60"/>
    </row>
    <row r="37" spans="1:34" ht="12.75">
      <c r="A37" s="61"/>
      <c r="B37" s="61"/>
      <c r="C37" s="62"/>
      <c r="D37" s="52" t="s">
        <v>49</v>
      </c>
      <c r="E37" s="43"/>
      <c r="F37" s="44"/>
      <c r="AD37" s="58" t="s">
        <v>35</v>
      </c>
      <c r="AE37" s="59"/>
      <c r="AF37" s="59"/>
      <c r="AG37" s="59"/>
      <c r="AH37" s="60"/>
    </row>
    <row r="38" spans="1:34" ht="12.75">
      <c r="A38" s="61"/>
      <c r="B38" s="61"/>
      <c r="C38" s="62"/>
      <c r="D38" s="52" t="s">
        <v>50</v>
      </c>
      <c r="E38" s="43"/>
      <c r="F38" s="44"/>
      <c r="AD38" s="58" t="s">
        <v>37</v>
      </c>
      <c r="AE38" s="59"/>
      <c r="AF38" s="59"/>
      <c r="AG38" s="59"/>
      <c r="AH38" s="60"/>
    </row>
    <row r="39" spans="4:34" ht="12.75">
      <c r="D39" s="52" t="s">
        <v>51</v>
      </c>
      <c r="E39" s="43"/>
      <c r="F39" s="44"/>
      <c r="AD39" s="63" t="s">
        <v>38</v>
      </c>
      <c r="AE39" s="64"/>
      <c r="AF39" s="64"/>
      <c r="AG39" s="64"/>
      <c r="AH39" s="65"/>
    </row>
  </sheetData>
  <sheetProtection selectLockedCells="1" selectUnlockedCells="1"/>
  <mergeCells count="12">
    <mergeCell ref="O1:AA1"/>
    <mergeCell ref="AC1:AH1"/>
    <mergeCell ref="D2:F2"/>
    <mergeCell ref="G2:H2"/>
    <mergeCell ref="I2:J2"/>
    <mergeCell ref="L2:M2"/>
    <mergeCell ref="G33:H33"/>
    <mergeCell ref="I33:J33"/>
    <mergeCell ref="L33:M33"/>
    <mergeCell ref="A1:F1"/>
    <mergeCell ref="G1:J1"/>
    <mergeCell ref="L1:M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39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4.8515625" style="1" customWidth="1"/>
    <col min="2" max="2" width="3.7109375" style="1" customWidth="1"/>
    <col min="3" max="3" width="10.57421875" style="1" customWidth="1"/>
    <col min="4" max="4" width="22.00390625" style="1" customWidth="1"/>
    <col min="5" max="5" width="2.00390625" style="2" customWidth="1"/>
    <col min="6" max="6" width="21.28125" style="1" customWidth="1"/>
    <col min="7" max="8" width="4.28125" style="3" customWidth="1"/>
    <col min="9" max="10" width="5.7109375" style="4" customWidth="1"/>
    <col min="11" max="11" width="0.71875" style="4" customWidth="1"/>
    <col min="12" max="13" width="5.8515625" style="4" customWidth="1"/>
    <col min="14" max="14" width="3.7109375" style="5" customWidth="1"/>
    <col min="15" max="15" width="5.140625" style="4" hidden="1" customWidth="1"/>
    <col min="16" max="16" width="20.7109375" style="4" hidden="1" customWidth="1"/>
    <col min="17" max="17" width="5.8515625" style="4" hidden="1" customWidth="1"/>
    <col min="18" max="23" width="5.57421875" style="4" hidden="1" customWidth="1"/>
    <col min="24" max="26" width="5.57421875" style="5" hidden="1" customWidth="1"/>
    <col min="27" max="27" width="9.57421875" style="5" hidden="1" customWidth="1"/>
    <col min="28" max="28" width="1.57421875" style="5" customWidth="1"/>
    <col min="29" max="29" width="5.421875" style="6" customWidth="1"/>
    <col min="30" max="30" width="21.7109375" style="6" customWidth="1"/>
    <col min="31" max="31" width="5.8515625" style="6" customWidth="1"/>
    <col min="32" max="34" width="8.421875" style="6" customWidth="1"/>
    <col min="35" max="35" width="11.421875" style="6" customWidth="1"/>
  </cols>
  <sheetData>
    <row r="1" spans="1:38" s="11" customFormat="1" ht="21" customHeight="1">
      <c r="A1" s="109" t="s">
        <v>52</v>
      </c>
      <c r="B1" s="109"/>
      <c r="C1" s="109"/>
      <c r="D1" s="109"/>
      <c r="E1" s="109"/>
      <c r="F1" s="109"/>
      <c r="G1" s="119" t="s">
        <v>1</v>
      </c>
      <c r="H1" s="119"/>
      <c r="I1" s="119"/>
      <c r="J1" s="119"/>
      <c r="K1" s="7"/>
      <c r="L1" s="111" t="s">
        <v>2</v>
      </c>
      <c r="M1" s="111"/>
      <c r="N1" s="8"/>
      <c r="O1" s="112" t="s">
        <v>3</v>
      </c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9"/>
      <c r="AC1" s="113" t="s">
        <v>4</v>
      </c>
      <c r="AD1" s="113"/>
      <c r="AE1" s="113"/>
      <c r="AF1" s="113"/>
      <c r="AG1" s="113"/>
      <c r="AH1" s="113"/>
      <c r="AI1" s="10"/>
      <c r="AJ1" s="10"/>
      <c r="AK1" s="10"/>
      <c r="AL1" s="10"/>
    </row>
    <row r="2" spans="1:35" s="19" customFormat="1" ht="35.25" customHeight="1">
      <c r="A2" s="105" t="s">
        <v>5</v>
      </c>
      <c r="B2" s="71" t="s">
        <v>6</v>
      </c>
      <c r="C2" s="72" t="s">
        <v>7</v>
      </c>
      <c r="D2" s="114" t="str">
        <f>IF(D35="","Bitte zuerst die 5 Mannschaftsnamen unten ab Zeile 35 eingeben","Spielpaarung")</f>
        <v>Spielpaarung</v>
      </c>
      <c r="E2" s="114"/>
      <c r="F2" s="114"/>
      <c r="G2" s="115" t="s">
        <v>8</v>
      </c>
      <c r="H2" s="116"/>
      <c r="I2" s="116" t="s">
        <v>9</v>
      </c>
      <c r="J2" s="117"/>
      <c r="K2" s="12"/>
      <c r="L2" s="118" t="s">
        <v>10</v>
      </c>
      <c r="M2" s="118"/>
      <c r="N2" s="12"/>
      <c r="O2" s="13" t="s">
        <v>11</v>
      </c>
      <c r="P2" s="13" t="s">
        <v>12</v>
      </c>
      <c r="Q2" s="13" t="s">
        <v>13</v>
      </c>
      <c r="R2" s="14" t="s">
        <v>14</v>
      </c>
      <c r="S2" s="15" t="s">
        <v>15</v>
      </c>
      <c r="T2" s="13" t="s">
        <v>10</v>
      </c>
      <c r="U2" s="14" t="s">
        <v>16</v>
      </c>
      <c r="V2" s="15" t="s">
        <v>17</v>
      </c>
      <c r="W2" s="13" t="s">
        <v>18</v>
      </c>
      <c r="X2" s="15" t="s">
        <v>19</v>
      </c>
      <c r="Y2" s="15" t="s">
        <v>20</v>
      </c>
      <c r="Z2" s="13" t="s">
        <v>21</v>
      </c>
      <c r="AA2" s="16" t="s">
        <v>22</v>
      </c>
      <c r="AB2" s="17"/>
      <c r="AC2" s="18" t="s">
        <v>11</v>
      </c>
      <c r="AD2" s="18" t="s">
        <v>12</v>
      </c>
      <c r="AE2" s="18" t="s">
        <v>13</v>
      </c>
      <c r="AF2" s="18" t="s">
        <v>10</v>
      </c>
      <c r="AG2" s="18" t="s">
        <v>18</v>
      </c>
      <c r="AH2" s="18" t="s">
        <v>21</v>
      </c>
      <c r="AI2" s="10"/>
    </row>
    <row r="3" spans="1:35" ht="12.75" customHeight="1">
      <c r="A3" s="97">
        <v>1</v>
      </c>
      <c r="B3" s="74" t="s">
        <v>26</v>
      </c>
      <c r="C3" s="75">
        <v>43726</v>
      </c>
      <c r="D3" s="76" t="str">
        <f>D35</f>
        <v>MTV 48 Hildesheim</v>
      </c>
      <c r="E3" s="77" t="s">
        <v>24</v>
      </c>
      <c r="F3" s="76" t="str">
        <f>D36</f>
        <v>SV Hildesia Diekholzen II</v>
      </c>
      <c r="G3" s="78">
        <v>3</v>
      </c>
      <c r="H3" s="101">
        <v>1</v>
      </c>
      <c r="I3" s="102">
        <v>100</v>
      </c>
      <c r="J3" s="78">
        <v>82</v>
      </c>
      <c r="K3" s="5"/>
      <c r="L3" s="20">
        <f>IF($G3+$H3&lt;&gt;4,"",IF($G3&gt;$H3,2,IF($G3=$H3,1,0)))</f>
        <v>2</v>
      </c>
      <c r="M3" s="21">
        <f>IF($G3+$H3&lt;&gt;4,"",2-$L3)</f>
        <v>0</v>
      </c>
      <c r="N3" s="22">
        <f aca="true" t="shared" si="0" ref="N3:N31">IF(AND(G3&lt;&gt;"",H3&lt;&gt;"",G3+H3&lt;&gt;4),"!!!","")</f>
      </c>
      <c r="O3" s="23">
        <f>RANK(AA3,$AA$3:$AA$7)</f>
        <v>3</v>
      </c>
      <c r="P3" s="24" t="str">
        <f>D35</f>
        <v>MTV 48 Hildesheim</v>
      </c>
      <c r="Q3" s="23">
        <f>(R3+S3)/2</f>
        <v>7</v>
      </c>
      <c r="R3" s="25">
        <f>SUMIF($D$3:$D$31,$P3,$L$3:$L$31)+SUMIF($F$3:$F$31,$P3,$M$3:$M$31)</f>
        <v>8</v>
      </c>
      <c r="S3" s="26">
        <f>SUMIF($D$3:$D$31,$P3,$M$3:$M$31)+SUMIF($F$3:$F$31,$P3,$L$3:$L$31)</f>
        <v>6</v>
      </c>
      <c r="T3" s="23" t="str">
        <f>R3&amp;" : "&amp;S3</f>
        <v>8 : 6</v>
      </c>
      <c r="U3" s="25">
        <f>SUMIF($D$3:$D$31,$P3,$G$3:$G$31)+SUMIF($F$3:$F$31,$P3,$H$3:$H$31)</f>
        <v>15</v>
      </c>
      <c r="V3" s="26">
        <f>SUMIF($D$3:$D$31,$P3,$H$3:$H$31)+SUMIF($F$3:$F$31,$P3,$G$3:$G$31)</f>
        <v>13</v>
      </c>
      <c r="W3" s="23" t="str">
        <f>U3&amp;" : "&amp;V3</f>
        <v>15 : 13</v>
      </c>
      <c r="X3" s="25">
        <f>SUMIF($D$3:$D$31,$P3,$I$3:$I$31)+SUMIF($F$3:$F$31,$P3,$J$3:$J$31)</f>
        <v>646</v>
      </c>
      <c r="Y3" s="26">
        <f>SUMIF($D$3:$D$31,$P3,$J$3:$J$31)+SUMIF($F$3:$F$31,$P3,$I$3:$I$31)</f>
        <v>615</v>
      </c>
      <c r="Z3" s="23" t="str">
        <f>X3&amp;" : "&amp;Y3</f>
        <v>646 : 615</v>
      </c>
      <c r="AA3" s="27">
        <f>R3*1000000000+(R3-S3)*10000000+(U3-V3)*10000+(X3-Y3)-ROW(P3)/100</f>
        <v>8020020030.97</v>
      </c>
      <c r="AB3" s="17"/>
      <c r="AC3" s="28">
        <v>1</v>
      </c>
      <c r="AD3" s="29" t="str">
        <f>VLOOKUP($AC3,$O$3:$P$7,2,FALSE)</f>
        <v>MTV SG Bors/Hars/Acht II</v>
      </c>
      <c r="AE3" s="28">
        <f>VLOOKUP($AC3,$O$3:$Z$7,3,FALSE)</f>
        <v>7</v>
      </c>
      <c r="AF3" s="28" t="str">
        <f>VLOOKUP($AC3,$O$3:$Z$7,6,FALSE)</f>
        <v>11 : 3</v>
      </c>
      <c r="AG3" s="28" t="str">
        <f>VLOOKUP($AC3,$O$3:$Z$7,9,FALSE)</f>
        <v>19 : 9</v>
      </c>
      <c r="AH3" s="28" t="str">
        <f>VLOOKUP($AC3,$O$3:$Z$7,12,FALSE)</f>
        <v>651 : 598</v>
      </c>
      <c r="AI3"/>
    </row>
    <row r="4" spans="1:35" ht="12.75" customHeight="1">
      <c r="A4" s="97">
        <v>2</v>
      </c>
      <c r="B4" s="74" t="s">
        <v>23</v>
      </c>
      <c r="C4" s="75">
        <v>43766</v>
      </c>
      <c r="D4" s="76" t="str">
        <f>D37</f>
        <v>MTV SG Bors/Hars/Acht II</v>
      </c>
      <c r="E4" s="77" t="s">
        <v>24</v>
      </c>
      <c r="F4" s="76" t="str">
        <f>D38</f>
        <v>SV Hildesia Diekholzen I</v>
      </c>
      <c r="G4" s="78">
        <v>3</v>
      </c>
      <c r="H4" s="101">
        <v>1</v>
      </c>
      <c r="I4" s="102">
        <v>95</v>
      </c>
      <c r="J4" s="78">
        <v>89</v>
      </c>
      <c r="K4" s="22"/>
      <c r="L4" s="20">
        <f>IF($G4+$H4&lt;&gt;4,"",IF($G4&gt;$H4,2,IF($G4=$H4,1,0)))</f>
        <v>2</v>
      </c>
      <c r="M4" s="21">
        <f>IF($G4+$H4&lt;&gt;4,"",2-$L4)</f>
        <v>0</v>
      </c>
      <c r="N4" s="22">
        <f t="shared" si="0"/>
      </c>
      <c r="O4" s="23">
        <f>RANK(AA4,$AA$3:$AA$7)</f>
        <v>5</v>
      </c>
      <c r="P4" s="24" t="str">
        <f>D36</f>
        <v>SV Hildesia Diekholzen II</v>
      </c>
      <c r="Q4" s="23">
        <f>(R4+S4)/2</f>
        <v>6</v>
      </c>
      <c r="R4" s="25">
        <f>SUMIF($D$3:$D$31,$P4,$L$3:$L$31)+SUMIF($F$3:$F$31,$P4,$M$3:$M$31)</f>
        <v>0</v>
      </c>
      <c r="S4" s="26">
        <f>SUMIF($D$3:$D$31,$P4,$M$3:$M$31)+SUMIF($F$3:$F$31,$P4,$L$3:$L$31)</f>
        <v>12</v>
      </c>
      <c r="T4" s="23" t="str">
        <f>R4&amp;" : "&amp;S4</f>
        <v>0 : 12</v>
      </c>
      <c r="U4" s="25">
        <f>SUMIF($D$3:$D$31,$P4,$G$3:$G$31)+SUMIF($F$3:$F$31,$P4,$H$3:$H$31)</f>
        <v>4</v>
      </c>
      <c r="V4" s="26">
        <f>SUMIF($D$3:$D$31,$P4,$H$3:$H$31)+SUMIF($F$3:$F$31,$P4,$G$3:$G$31)</f>
        <v>20</v>
      </c>
      <c r="W4" s="23" t="str">
        <f>U4&amp;" : "&amp;V4</f>
        <v>4 : 20</v>
      </c>
      <c r="X4" s="25">
        <f>SUMIF($D$3:$D$31,$P4,$I$3:$I$31)+SUMIF($F$3:$F$31,$P4,$J$3:$J$31)</f>
        <v>437</v>
      </c>
      <c r="Y4" s="26">
        <f>SUMIF($D$3:$D$31,$P4,$J$3:$J$31)+SUMIF($F$3:$F$31,$P4,$I$3:$I$31)</f>
        <v>594</v>
      </c>
      <c r="Z4" s="23" t="str">
        <f>X4&amp;" : "&amp;Y4</f>
        <v>437 : 594</v>
      </c>
      <c r="AA4" s="27">
        <f>R4*1000000000+(R4-S4)*10000000+(U4-V4)*10000+(X4-Y4)-ROW(P4)/100</f>
        <v>-120160157.04</v>
      </c>
      <c r="AB4" s="17"/>
      <c r="AC4" s="28">
        <v>2</v>
      </c>
      <c r="AD4" s="29" t="str">
        <f>VLOOKUP($AC4,$O$3:$Z$7,2,FALSE)</f>
        <v>SV Hildesia Diekholzen I</v>
      </c>
      <c r="AE4" s="28">
        <f>VLOOKUP($AC4,$O$3:$Z$7,3,FALSE)</f>
        <v>5</v>
      </c>
      <c r="AF4" s="28" t="str">
        <f>VLOOKUP($AC4,$O$3:$Z$7,6,FALSE)</f>
        <v>8 : 2</v>
      </c>
      <c r="AG4" s="28" t="str">
        <f>VLOOKUP($AC4,$O$3:$Z$7,9,FALSE)</f>
        <v>15 : 5</v>
      </c>
      <c r="AH4" s="28" t="str">
        <f>VLOOKUP($AC4,$O$3:$Z$7,12,FALSE)</f>
        <v>478 : 385</v>
      </c>
      <c r="AI4"/>
    </row>
    <row r="5" spans="1:35" ht="12.75" customHeight="1">
      <c r="A5" s="80"/>
      <c r="B5" s="79"/>
      <c r="C5" s="80"/>
      <c r="D5" s="81"/>
      <c r="E5" s="81"/>
      <c r="F5" s="81"/>
      <c r="G5" s="82"/>
      <c r="H5" s="103"/>
      <c r="I5" s="104"/>
      <c r="J5" s="82"/>
      <c r="K5" s="32"/>
      <c r="L5" s="30"/>
      <c r="M5" s="31"/>
      <c r="N5" s="33"/>
      <c r="O5" s="23">
        <f>RANK(AA5,$AA$3:$AA$7)</f>
        <v>1</v>
      </c>
      <c r="P5" s="24" t="str">
        <f>D37</f>
        <v>MTV SG Bors/Hars/Acht II</v>
      </c>
      <c r="Q5" s="23">
        <f>(R5+S5)/2</f>
        <v>7</v>
      </c>
      <c r="R5" s="25">
        <f>SUMIF($D$3:$D$31,$P5,$L$3:$L$31)+SUMIF($F$3:$F$31,$P5,$M$3:$M$31)</f>
        <v>11</v>
      </c>
      <c r="S5" s="26">
        <f>SUMIF($D$3:$D$31,$P5,$M$3:$M$31)+SUMIF($F$3:$F$31,$P5,$L$3:$L$31)</f>
        <v>3</v>
      </c>
      <c r="T5" s="23" t="str">
        <f>R5&amp;" : "&amp;S5</f>
        <v>11 : 3</v>
      </c>
      <c r="U5" s="25">
        <f>SUMIF($D$3:$D$31,$P5,$G$3:$G$31)+SUMIF($F$3:$F$31,$P5,$H$3:$H$31)</f>
        <v>19</v>
      </c>
      <c r="V5" s="26">
        <f>SUMIF($D$3:$D$31,$P5,$H$3:$H$31)+SUMIF($F$3:$F$31,$P5,$G$3:$G$31)</f>
        <v>9</v>
      </c>
      <c r="W5" s="23" t="str">
        <f>U5&amp;" : "&amp;V5</f>
        <v>19 : 9</v>
      </c>
      <c r="X5" s="25">
        <f>SUMIF($D$3:$D$31,$P5,$I$3:$I$31)+SUMIF($F$3:$F$31,$P5,$J$3:$J$31)</f>
        <v>651</v>
      </c>
      <c r="Y5" s="26">
        <f>SUMIF($D$3:$D$31,$P5,$J$3:$J$31)+SUMIF($F$3:$F$31,$P5,$I$3:$I$31)</f>
        <v>598</v>
      </c>
      <c r="Z5" s="23" t="str">
        <f>X5&amp;" : "&amp;Y5</f>
        <v>651 : 598</v>
      </c>
      <c r="AA5" s="27">
        <f>R5*1000000000+(R5-S5)*10000000+(U5-V5)*10000+(X5-Y5)-ROW(P5)/100</f>
        <v>11080100052.95</v>
      </c>
      <c r="AB5" s="17"/>
      <c r="AC5" s="28">
        <v>3</v>
      </c>
      <c r="AD5" s="29" t="str">
        <f>VLOOKUP($AC5,$O$3:$Z$7,2,FALSE)</f>
        <v>MTV 48 Hildesheim</v>
      </c>
      <c r="AE5" s="28">
        <f>VLOOKUP($AC5,$O$3:$Z$7,3,FALSE)</f>
        <v>7</v>
      </c>
      <c r="AF5" s="28" t="str">
        <f>VLOOKUP($AC5,$O$3:$Z$7,6,FALSE)</f>
        <v>8 : 6</v>
      </c>
      <c r="AG5" s="28" t="str">
        <f>VLOOKUP($AC5,$O$3:$Z$7,9,FALSE)</f>
        <v>15 : 13</v>
      </c>
      <c r="AH5" s="28" t="str">
        <f>VLOOKUP($AC5,$O$3:$Z$7,12,FALSE)</f>
        <v>646 : 615</v>
      </c>
      <c r="AI5"/>
    </row>
    <row r="6" spans="1:35" ht="12.75" customHeight="1">
      <c r="A6" s="97">
        <v>3</v>
      </c>
      <c r="B6" s="74" t="s">
        <v>23</v>
      </c>
      <c r="C6" s="75">
        <v>43773</v>
      </c>
      <c r="D6" s="76" t="str">
        <f>D39</f>
        <v>MTV Bodenburg</v>
      </c>
      <c r="E6" s="77" t="s">
        <v>24</v>
      </c>
      <c r="F6" s="76" t="str">
        <f>D35</f>
        <v>MTV 48 Hildesheim</v>
      </c>
      <c r="G6" s="78">
        <v>2</v>
      </c>
      <c r="H6" s="101">
        <v>2</v>
      </c>
      <c r="I6" s="102">
        <v>89</v>
      </c>
      <c r="J6" s="78">
        <v>91</v>
      </c>
      <c r="K6" s="5"/>
      <c r="L6" s="20">
        <f>IF($G6+$H6&lt;&gt;4,"",IF($G6&gt;$H6,2,IF($G6=$H6,1,0)))</f>
        <v>1</v>
      </c>
      <c r="M6" s="21">
        <f>IF($G6+$H6&lt;&gt;4,"",2-$L6)</f>
        <v>1</v>
      </c>
      <c r="N6" s="22">
        <f t="shared" si="0"/>
      </c>
      <c r="O6" s="23">
        <f>RANK(AA6,$AA$3:$AA$7)</f>
        <v>2</v>
      </c>
      <c r="P6" s="24" t="str">
        <f>D38</f>
        <v>SV Hildesia Diekholzen I</v>
      </c>
      <c r="Q6" s="23">
        <f>(R6+S6)/2</f>
        <v>5</v>
      </c>
      <c r="R6" s="25">
        <f>SUMIF($D$3:$D$31,$P6,$L$3:$L$31)+SUMIF($F$3:$F$31,$P6,$M$3:$M$31)</f>
        <v>8</v>
      </c>
      <c r="S6" s="26">
        <f>SUMIF($D$3:$D$31,$P6,$M$3:$M$31)+SUMIF($F$3:$F$31,$P6,$L$3:$L$31)</f>
        <v>2</v>
      </c>
      <c r="T6" s="23" t="str">
        <f>R6&amp;" : "&amp;S6</f>
        <v>8 : 2</v>
      </c>
      <c r="U6" s="25">
        <f>SUMIF($D$3:$D$31,$P6,$G$3:$G$31)+SUMIF($F$3:$F$31,$P6,$H$3:$H$31)</f>
        <v>15</v>
      </c>
      <c r="V6" s="26">
        <f>SUMIF($D$3:$D$31,$P6,$H$3:$H$31)+SUMIF($F$3:$F$31,$P6,$G$3:$G$31)</f>
        <v>5</v>
      </c>
      <c r="W6" s="23" t="str">
        <f>U6&amp;" : "&amp;V6</f>
        <v>15 : 5</v>
      </c>
      <c r="X6" s="25">
        <f>SUMIF($D$3:$D$31,$P6,$I$3:$I$31)+SUMIF($F$3:$F$31,$P6,$J$3:$J$31)</f>
        <v>478</v>
      </c>
      <c r="Y6" s="26">
        <f>SUMIF($D$3:$D$31,$P6,$J$3:$J$31)+SUMIF($F$3:$F$31,$P6,$I$3:$I$31)</f>
        <v>385</v>
      </c>
      <c r="Z6" s="23" t="str">
        <f>X6&amp;" : "&amp;Y6</f>
        <v>478 : 385</v>
      </c>
      <c r="AA6" s="27">
        <f>R6*1000000000+(R6-S6)*10000000+(U6-V6)*10000+(X6-Y6)-ROW(P6)/100</f>
        <v>8060100092.94</v>
      </c>
      <c r="AB6" s="17"/>
      <c r="AC6" s="28">
        <v>4</v>
      </c>
      <c r="AD6" s="29" t="str">
        <f>VLOOKUP($AC6,$O$3:$Z$7,2,FALSE)</f>
        <v>MTV Bodenburg</v>
      </c>
      <c r="AE6" s="28">
        <f>VLOOKUP($AC6,$O$3:$Z$7,3,FALSE)</f>
        <v>5</v>
      </c>
      <c r="AF6" s="28" t="str">
        <f>VLOOKUP($AC6,$O$3:$Z$7,6,FALSE)</f>
        <v>3 : 7</v>
      </c>
      <c r="AG6" s="28" t="str">
        <f>VLOOKUP($AC6,$O$3:$Z$7,9,FALSE)</f>
        <v>7 : 13</v>
      </c>
      <c r="AH6" s="28" t="str">
        <f>VLOOKUP($AC6,$O$3:$Z$7,12,FALSE)</f>
        <v>442 : 462</v>
      </c>
      <c r="AI6"/>
    </row>
    <row r="7" spans="1:35" ht="12.75" customHeight="1">
      <c r="A7" s="97">
        <v>4</v>
      </c>
      <c r="B7" s="74" t="s">
        <v>23</v>
      </c>
      <c r="C7" s="75">
        <v>43773</v>
      </c>
      <c r="D7" s="76" t="str">
        <f>D36</f>
        <v>SV Hildesia Diekholzen II</v>
      </c>
      <c r="E7" s="77" t="s">
        <v>24</v>
      </c>
      <c r="F7" s="76" t="str">
        <f>D37</f>
        <v>MTV SG Bors/Hars/Acht II</v>
      </c>
      <c r="G7" s="78">
        <v>1</v>
      </c>
      <c r="H7" s="101">
        <v>3</v>
      </c>
      <c r="I7" s="102">
        <v>88</v>
      </c>
      <c r="J7" s="78">
        <v>99</v>
      </c>
      <c r="K7" s="22"/>
      <c r="L7" s="20">
        <f>IF($G7+$H7&lt;&gt;4,"",IF($G7&gt;$H7,2,IF($G7=$H7,1,0)))</f>
        <v>0</v>
      </c>
      <c r="M7" s="21">
        <f>IF($G7+$H7&lt;&gt;4,"",2-$L7)</f>
        <v>2</v>
      </c>
      <c r="N7" s="22">
        <f t="shared" si="0"/>
      </c>
      <c r="O7" s="23">
        <f>RANK(AA7,$AA$3:$AA$7)</f>
        <v>4</v>
      </c>
      <c r="P7" s="24" t="str">
        <f>D39</f>
        <v>MTV Bodenburg</v>
      </c>
      <c r="Q7" s="23">
        <f>(R7+S7)/2</f>
        <v>5</v>
      </c>
      <c r="R7" s="25">
        <f>SUMIF($D$3:$D$31,$P7,$L$3:$L$31)+SUMIF($F$3:$F$31,$P7,$M$3:$M$31)</f>
        <v>3</v>
      </c>
      <c r="S7" s="26">
        <f>SUMIF($D$3:$D$31,$P7,$M$3:$M$31)+SUMIF($F$3:$F$31,$P7,$L$3:$L$31)</f>
        <v>7</v>
      </c>
      <c r="T7" s="23" t="str">
        <f>R7&amp;" : "&amp;S7</f>
        <v>3 : 7</v>
      </c>
      <c r="U7" s="25">
        <f>SUMIF($D$3:$D$31,$P7,$G$3:$G$31)+SUMIF($F$3:$F$31,$P7,$H$3:$H$31)</f>
        <v>7</v>
      </c>
      <c r="V7" s="26">
        <f>SUMIF($D$3:$D$31,$P7,$H$3:$H$31)+SUMIF($F$3:$F$31,$P7,$G$3:$G$31)</f>
        <v>13</v>
      </c>
      <c r="W7" s="23" t="str">
        <f>U7&amp;" : "&amp;V7</f>
        <v>7 : 13</v>
      </c>
      <c r="X7" s="25">
        <f>SUMIF($D$3:$D$31,$P7,$I$3:$I$31)+SUMIF($F$3:$F$31,$P7,$J$3:$J$31)</f>
        <v>442</v>
      </c>
      <c r="Y7" s="26">
        <f>SUMIF($D$3:$D$31,$P7,$J$3:$J$31)+SUMIF($F$3:$F$31,$P7,$I$3:$I$31)</f>
        <v>462</v>
      </c>
      <c r="Z7" s="23" t="str">
        <f>X7&amp;" : "&amp;Y7</f>
        <v>442 : 462</v>
      </c>
      <c r="AA7" s="27">
        <f>R7*1000000000+(R7-S7)*10000000+(U7-V7)*10000+(X7-Y7)-ROW(P7)/100</f>
        <v>2959939979.93</v>
      </c>
      <c r="AB7" s="17"/>
      <c r="AC7" s="28">
        <v>5</v>
      </c>
      <c r="AD7" s="29" t="str">
        <f>VLOOKUP($AC7,$O$3:$Z$7,2,FALSE)</f>
        <v>SV Hildesia Diekholzen II</v>
      </c>
      <c r="AE7" s="28">
        <f>VLOOKUP($AC7,$O$3:$Z$7,3,FALSE)</f>
        <v>6</v>
      </c>
      <c r="AF7" s="28" t="str">
        <f>VLOOKUP($AC7,$O$3:$Z$7,6,FALSE)</f>
        <v>0 : 12</v>
      </c>
      <c r="AG7" s="28" t="str">
        <f>VLOOKUP($AC7,$O$3:$Z$7,9,FALSE)</f>
        <v>4 : 20</v>
      </c>
      <c r="AH7" s="28" t="str">
        <f>VLOOKUP($AC7,$O$3:$Z$7,12,FALSE)</f>
        <v>437 : 594</v>
      </c>
      <c r="AI7"/>
    </row>
    <row r="8" spans="1:35" ht="12.75" customHeight="1">
      <c r="A8" s="80"/>
      <c r="B8" s="79"/>
      <c r="C8" s="80"/>
      <c r="D8" s="81"/>
      <c r="E8" s="81"/>
      <c r="F8" s="81"/>
      <c r="G8" s="82"/>
      <c r="H8" s="103"/>
      <c r="I8" s="104"/>
      <c r="J8" s="82"/>
      <c r="K8" s="32"/>
      <c r="L8" s="30"/>
      <c r="M8" s="31"/>
      <c r="N8" s="33"/>
      <c r="O8" s="3"/>
      <c r="P8" s="3"/>
      <c r="Q8" s="3"/>
      <c r="R8" s="3"/>
      <c r="S8" s="3"/>
      <c r="T8" s="3"/>
      <c r="U8" s="3"/>
      <c r="V8" s="3"/>
      <c r="W8" s="3"/>
      <c r="X8" s="17"/>
      <c r="Y8" s="17"/>
      <c r="Z8" s="17"/>
      <c r="AA8" s="17"/>
      <c r="AB8" s="17"/>
      <c r="AC8" s="34"/>
      <c r="AI8"/>
    </row>
    <row r="9" spans="1:34" ht="12.75" customHeight="1">
      <c r="A9" s="97">
        <v>5</v>
      </c>
      <c r="B9" s="74" t="s">
        <v>26</v>
      </c>
      <c r="C9" s="75">
        <v>43796</v>
      </c>
      <c r="D9" s="76" t="str">
        <f>D35</f>
        <v>MTV 48 Hildesheim</v>
      </c>
      <c r="E9" s="77" t="s">
        <v>24</v>
      </c>
      <c r="F9" s="76" t="str">
        <f>D37</f>
        <v>MTV SG Bors/Hars/Acht II</v>
      </c>
      <c r="G9" s="78">
        <v>2</v>
      </c>
      <c r="H9" s="101">
        <v>2</v>
      </c>
      <c r="I9" s="102">
        <v>92</v>
      </c>
      <c r="J9" s="78">
        <v>92</v>
      </c>
      <c r="K9" s="5"/>
      <c r="L9" s="20">
        <f>IF($G9+$H9&lt;&gt;4,"",IF($G9&gt;$H9,2,IF($G9=$H9,1,0)))</f>
        <v>1</v>
      </c>
      <c r="M9" s="21">
        <f>IF($G9+$H9&lt;&gt;4,"",2-$L9)</f>
        <v>1</v>
      </c>
      <c r="N9" s="22">
        <f t="shared" si="0"/>
      </c>
      <c r="O9" s="3"/>
      <c r="P9" s="3"/>
      <c r="Q9" s="3"/>
      <c r="R9" s="3"/>
      <c r="S9" s="3"/>
      <c r="T9" s="3"/>
      <c r="U9" s="3"/>
      <c r="V9" s="3"/>
      <c r="W9" s="3"/>
      <c r="X9" s="17"/>
      <c r="Y9" s="17"/>
      <c r="Z9" s="17"/>
      <c r="AA9" s="17"/>
      <c r="AB9" s="17"/>
      <c r="AC9" s="35" t="s">
        <v>28</v>
      </c>
      <c r="AD9" s="34"/>
      <c r="AE9" s="34"/>
      <c r="AF9" s="36">
        <f>SUM(R$3:S7)/2</f>
        <v>30</v>
      </c>
      <c r="AG9" s="36">
        <f>SUM(U$3:V7)/2</f>
        <v>60</v>
      </c>
      <c r="AH9" s="36">
        <f>SUM(X$3:Y7)/2</f>
        <v>2654</v>
      </c>
    </row>
    <row r="10" spans="1:29" ht="12.75" customHeight="1">
      <c r="A10" s="97">
        <v>6</v>
      </c>
      <c r="B10" s="74" t="s">
        <v>23</v>
      </c>
      <c r="C10" s="75">
        <v>43794</v>
      </c>
      <c r="D10" s="76" t="str">
        <f>D38</f>
        <v>SV Hildesia Diekholzen I</v>
      </c>
      <c r="E10" s="77" t="s">
        <v>24</v>
      </c>
      <c r="F10" s="76" t="str">
        <f>D39</f>
        <v>MTV Bodenburg</v>
      </c>
      <c r="G10" s="78">
        <v>3</v>
      </c>
      <c r="H10" s="101">
        <v>1</v>
      </c>
      <c r="I10" s="102">
        <v>97</v>
      </c>
      <c r="J10" s="78">
        <v>85</v>
      </c>
      <c r="K10" s="22"/>
      <c r="L10" s="20">
        <f>IF($G10+$H10&lt;&gt;4,"",IF($G10&gt;$H10,2,IF($G10=$H10,1,0)))</f>
        <v>2</v>
      </c>
      <c r="M10" s="21">
        <f>IF($G10+$H10&lt;&gt;4,"",2-$L10)</f>
        <v>0</v>
      </c>
      <c r="N10" s="22">
        <f t="shared" si="0"/>
      </c>
      <c r="O10" s="3"/>
      <c r="P10" s="3"/>
      <c r="Q10" s="3"/>
      <c r="R10" s="3"/>
      <c r="S10" s="3"/>
      <c r="T10" s="3"/>
      <c r="U10" s="3"/>
      <c r="V10" s="3"/>
      <c r="W10" s="3"/>
      <c r="X10" s="17"/>
      <c r="Y10" s="17"/>
      <c r="Z10" s="17"/>
      <c r="AA10" s="17"/>
      <c r="AB10" s="17"/>
      <c r="AC10" s="34"/>
    </row>
    <row r="11" spans="1:28" ht="12.75" customHeight="1">
      <c r="A11" s="80"/>
      <c r="B11" s="79"/>
      <c r="C11" s="80"/>
      <c r="D11" s="81"/>
      <c r="E11" s="81"/>
      <c r="F11" s="81"/>
      <c r="G11" s="82"/>
      <c r="H11" s="103"/>
      <c r="I11" s="104"/>
      <c r="J11" s="82"/>
      <c r="K11" s="32"/>
      <c r="L11" s="30"/>
      <c r="M11" s="31"/>
      <c r="N11" s="33"/>
      <c r="O11" s="3"/>
      <c r="P11" s="3"/>
      <c r="Q11" s="3"/>
      <c r="R11" s="3"/>
      <c r="S11" s="3"/>
      <c r="T11" s="3"/>
      <c r="U11" s="3"/>
      <c r="V11" s="3"/>
      <c r="W11" s="3"/>
      <c r="X11" s="17"/>
      <c r="Y11" s="17"/>
      <c r="Z11" s="17"/>
      <c r="AA11" s="17"/>
      <c r="AB11" s="17"/>
    </row>
    <row r="12" spans="1:28" ht="12.75" customHeight="1">
      <c r="A12" s="97">
        <v>7</v>
      </c>
      <c r="B12" s="74" t="s">
        <v>23</v>
      </c>
      <c r="C12" s="75">
        <v>43864</v>
      </c>
      <c r="D12" s="76" t="str">
        <f>D36</f>
        <v>SV Hildesia Diekholzen II</v>
      </c>
      <c r="E12" s="77" t="s">
        <v>24</v>
      </c>
      <c r="F12" s="76" t="str">
        <f>D38</f>
        <v>SV Hildesia Diekholzen I</v>
      </c>
      <c r="G12" s="78">
        <v>0</v>
      </c>
      <c r="H12" s="101">
        <v>4</v>
      </c>
      <c r="I12" s="102">
        <v>60</v>
      </c>
      <c r="J12" s="78">
        <v>100</v>
      </c>
      <c r="K12" s="5"/>
      <c r="L12" s="20">
        <f>IF($G12+$H12&lt;&gt;4,"",IF($G12&gt;$H12,2,IF($G12=$H12,1,0)))</f>
        <v>0</v>
      </c>
      <c r="M12" s="21">
        <f>IF($G12+$H12&lt;&gt;4,"",2-$L12)</f>
        <v>2</v>
      </c>
      <c r="N12" s="22">
        <f t="shared" si="0"/>
      </c>
      <c r="O12" s="3"/>
      <c r="P12" s="3"/>
      <c r="Q12" s="3"/>
      <c r="R12" s="3"/>
      <c r="S12" s="3"/>
      <c r="T12" s="3"/>
      <c r="U12" s="3"/>
      <c r="V12" s="3"/>
      <c r="W12" s="3"/>
      <c r="X12" s="17"/>
      <c r="Y12" s="17"/>
      <c r="Z12" s="17"/>
      <c r="AA12" s="17"/>
      <c r="AB12" s="17"/>
    </row>
    <row r="13" spans="1:28" ht="12.75" customHeight="1">
      <c r="A13" s="97">
        <v>8</v>
      </c>
      <c r="B13" s="74" t="s">
        <v>23</v>
      </c>
      <c r="C13" s="75">
        <v>43815</v>
      </c>
      <c r="D13" s="76" t="str">
        <f>D37</f>
        <v>MTV SG Bors/Hars/Acht II</v>
      </c>
      <c r="E13" s="77" t="s">
        <v>24</v>
      </c>
      <c r="F13" s="76" t="str">
        <f>D39</f>
        <v>MTV Bodenburg</v>
      </c>
      <c r="G13" s="78">
        <v>3</v>
      </c>
      <c r="H13" s="101">
        <v>1</v>
      </c>
      <c r="I13" s="102">
        <v>95</v>
      </c>
      <c r="J13" s="78">
        <v>84</v>
      </c>
      <c r="K13" s="22"/>
      <c r="L13" s="20">
        <f>IF($G13+$H13&lt;&gt;4,"",IF($G13&gt;$H13,2,IF($G13=$H13,1,0)))</f>
        <v>2</v>
      </c>
      <c r="M13" s="21">
        <f>IF($G13+$H13&lt;&gt;4,"",2-$L13)</f>
        <v>0</v>
      </c>
      <c r="N13" s="22">
        <f t="shared" si="0"/>
      </c>
      <c r="O13" s="3"/>
      <c r="P13" s="3"/>
      <c r="Q13" s="3"/>
      <c r="R13" s="3"/>
      <c r="S13" s="3"/>
      <c r="T13" s="3"/>
      <c r="U13" s="3"/>
      <c r="V13" s="3"/>
      <c r="W13" s="3"/>
      <c r="X13" s="17"/>
      <c r="Y13" s="17"/>
      <c r="Z13" s="17"/>
      <c r="AA13" s="17"/>
      <c r="AB13" s="17"/>
    </row>
    <row r="14" spans="1:28" ht="12.75" customHeight="1">
      <c r="A14" s="80"/>
      <c r="B14" s="79"/>
      <c r="C14" s="80"/>
      <c r="D14" s="81"/>
      <c r="E14" s="81"/>
      <c r="F14" s="81"/>
      <c r="G14" s="82"/>
      <c r="H14" s="103"/>
      <c r="I14" s="104"/>
      <c r="J14" s="82"/>
      <c r="K14" s="32"/>
      <c r="L14" s="30"/>
      <c r="M14" s="31"/>
      <c r="N14" s="33"/>
      <c r="O14" s="3"/>
      <c r="P14" s="3"/>
      <c r="Q14" s="3"/>
      <c r="R14" s="3"/>
      <c r="S14" s="3"/>
      <c r="T14" s="3"/>
      <c r="U14" s="3"/>
      <c r="V14" s="3"/>
      <c r="W14" s="3"/>
      <c r="X14" s="17"/>
      <c r="Y14" s="17"/>
      <c r="Z14" s="17"/>
      <c r="AA14" s="17"/>
      <c r="AB14" s="17"/>
    </row>
    <row r="15" spans="1:28" ht="12.75" customHeight="1">
      <c r="A15" s="97">
        <v>9</v>
      </c>
      <c r="B15" s="74" t="s">
        <v>23</v>
      </c>
      <c r="C15" s="75">
        <v>43850</v>
      </c>
      <c r="D15" s="76" t="str">
        <f>D39</f>
        <v>MTV Bodenburg</v>
      </c>
      <c r="E15" s="77" t="s">
        <v>24</v>
      </c>
      <c r="F15" s="76" t="str">
        <f>D36</f>
        <v>SV Hildesia Diekholzen II</v>
      </c>
      <c r="G15" s="78">
        <v>3</v>
      </c>
      <c r="H15" s="101">
        <v>1</v>
      </c>
      <c r="I15" s="102">
        <v>95</v>
      </c>
      <c r="J15" s="78">
        <v>74</v>
      </c>
      <c r="K15" s="5"/>
      <c r="L15" s="20">
        <f>IF($G15+$H15&lt;&gt;4,"",IF($G15&gt;$H15,2,IF($G15=$H15,1,0)))</f>
        <v>2</v>
      </c>
      <c r="M15" s="21">
        <f>IF($G15+$H15&lt;&gt;4,"",2-$L15)</f>
        <v>0</v>
      </c>
      <c r="N15" s="22">
        <f t="shared" si="0"/>
      </c>
      <c r="O15" s="3"/>
      <c r="P15" s="3"/>
      <c r="Q15" s="3"/>
      <c r="R15" s="3"/>
      <c r="S15" s="3"/>
      <c r="T15" s="3"/>
      <c r="U15" s="3"/>
      <c r="V15" s="3"/>
      <c r="W15" s="3"/>
      <c r="X15" s="17"/>
      <c r="Y15" s="17"/>
      <c r="Z15" s="17"/>
      <c r="AA15" s="17"/>
      <c r="AB15" s="17"/>
    </row>
    <row r="16" spans="1:28" ht="12.75" customHeight="1">
      <c r="A16" s="97">
        <v>10</v>
      </c>
      <c r="B16" s="74" t="s">
        <v>23</v>
      </c>
      <c r="C16" s="75">
        <v>43843</v>
      </c>
      <c r="D16" s="76" t="str">
        <f>D38</f>
        <v>SV Hildesia Diekholzen I</v>
      </c>
      <c r="E16" s="77" t="s">
        <v>24</v>
      </c>
      <c r="F16" s="76" t="str">
        <f>D35</f>
        <v>MTV 48 Hildesheim</v>
      </c>
      <c r="G16" s="78">
        <v>4</v>
      </c>
      <c r="H16" s="101">
        <v>0</v>
      </c>
      <c r="I16" s="102">
        <v>100</v>
      </c>
      <c r="J16" s="78">
        <v>71</v>
      </c>
      <c r="K16" s="22"/>
      <c r="L16" s="20">
        <f>IF($G16+$H16&lt;&gt;4,"",IF($G16&gt;$H16,2,IF($G16=$H16,1,0)))</f>
        <v>2</v>
      </c>
      <c r="M16" s="21">
        <f>IF($G16+$H16&lt;&gt;4,"",2-$L16)</f>
        <v>0</v>
      </c>
      <c r="N16" s="22">
        <f t="shared" si="0"/>
      </c>
      <c r="O16" s="3"/>
      <c r="P16" s="3"/>
      <c r="Q16" s="3"/>
      <c r="R16" s="3"/>
      <c r="S16" s="3"/>
      <c r="T16" s="3"/>
      <c r="U16" s="3"/>
      <c r="V16" s="3"/>
      <c r="W16" s="3"/>
      <c r="X16" s="17"/>
      <c r="Y16" s="17"/>
      <c r="Z16" s="17"/>
      <c r="AA16" s="17"/>
      <c r="AB16" s="17"/>
    </row>
    <row r="17" spans="1:28" ht="12.75" customHeight="1">
      <c r="A17" s="80"/>
      <c r="B17" s="79"/>
      <c r="C17" s="80"/>
      <c r="D17" s="81"/>
      <c r="E17" s="81"/>
      <c r="F17" s="81"/>
      <c r="G17" s="82"/>
      <c r="H17" s="103"/>
      <c r="I17" s="104"/>
      <c r="J17" s="82"/>
      <c r="K17" s="32"/>
      <c r="L17" s="30"/>
      <c r="M17" s="31"/>
      <c r="N17" s="33"/>
      <c r="O17" s="3"/>
      <c r="P17" s="3"/>
      <c r="Q17" s="3"/>
      <c r="R17" s="3"/>
      <c r="S17" s="3"/>
      <c r="T17" s="3"/>
      <c r="U17" s="3"/>
      <c r="V17" s="3"/>
      <c r="W17" s="3"/>
      <c r="X17" s="17"/>
      <c r="Y17" s="17"/>
      <c r="Z17" s="17"/>
      <c r="AA17" s="17"/>
      <c r="AB17" s="17"/>
    </row>
    <row r="18" spans="1:28" ht="12.75" customHeight="1">
      <c r="A18" s="97">
        <v>11</v>
      </c>
      <c r="B18" s="74" t="s">
        <v>23</v>
      </c>
      <c r="C18" s="75">
        <v>43878</v>
      </c>
      <c r="D18" s="76" t="str">
        <f>F3</f>
        <v>SV Hildesia Diekholzen II</v>
      </c>
      <c r="E18" s="77" t="s">
        <v>24</v>
      </c>
      <c r="F18" s="76" t="str">
        <f>D3</f>
        <v>MTV 48 Hildesheim</v>
      </c>
      <c r="G18" s="78">
        <v>1</v>
      </c>
      <c r="H18" s="101">
        <v>3</v>
      </c>
      <c r="I18" s="102">
        <v>67</v>
      </c>
      <c r="J18" s="78">
        <v>100</v>
      </c>
      <c r="K18" s="5"/>
      <c r="L18" s="20">
        <f>IF($G18+$H18&lt;&gt;4,"",IF($G18&gt;$H18,2,IF($G18=$H18,1,0)))</f>
        <v>0</v>
      </c>
      <c r="M18" s="21">
        <f>IF($G18+$H18&lt;&gt;4,"",2-$L18)</f>
        <v>2</v>
      </c>
      <c r="N18" s="22">
        <f t="shared" si="0"/>
      </c>
      <c r="O18" s="3"/>
      <c r="P18" s="3"/>
      <c r="Q18" s="3"/>
      <c r="R18" s="3"/>
      <c r="S18" s="3"/>
      <c r="T18" s="3"/>
      <c r="U18" s="3"/>
      <c r="V18" s="3"/>
      <c r="W18" s="3"/>
      <c r="X18" s="17"/>
      <c r="Y18" s="17"/>
      <c r="Z18" s="17"/>
      <c r="AA18" s="17"/>
      <c r="AB18" s="17"/>
    </row>
    <row r="19" spans="1:28" ht="12.75" customHeight="1">
      <c r="A19" s="97">
        <v>12</v>
      </c>
      <c r="B19" s="74" t="s">
        <v>23</v>
      </c>
      <c r="C19" s="75">
        <v>43857</v>
      </c>
      <c r="D19" s="76" t="str">
        <f>F4</f>
        <v>SV Hildesia Diekholzen I</v>
      </c>
      <c r="E19" s="77" t="s">
        <v>24</v>
      </c>
      <c r="F19" s="76" t="str">
        <f>D4</f>
        <v>MTV SG Bors/Hars/Acht II</v>
      </c>
      <c r="G19" s="78">
        <v>3</v>
      </c>
      <c r="H19" s="101">
        <v>1</v>
      </c>
      <c r="I19" s="102">
        <v>92</v>
      </c>
      <c r="J19" s="78">
        <v>74</v>
      </c>
      <c r="K19" s="22"/>
      <c r="L19" s="20">
        <f>IF($G19+$H19&lt;&gt;4,"",IF($G19&gt;$H19,2,IF($G19=$H19,1,0)))</f>
        <v>2</v>
      </c>
      <c r="M19" s="21">
        <f>IF($G19+$H19&lt;&gt;4,"",2-$L19)</f>
        <v>0</v>
      </c>
      <c r="N19" s="22">
        <f t="shared" si="0"/>
      </c>
      <c r="O19" s="3"/>
      <c r="P19" s="3"/>
      <c r="Q19" s="3"/>
      <c r="R19" s="3"/>
      <c r="S19" s="3"/>
      <c r="T19" s="3"/>
      <c r="U19" s="3"/>
      <c r="V19" s="3"/>
      <c r="W19" s="3"/>
      <c r="X19" s="17"/>
      <c r="Y19" s="17"/>
      <c r="Z19" s="17"/>
      <c r="AA19" s="17"/>
      <c r="AB19" s="17"/>
    </row>
    <row r="20" spans="1:28" ht="12.75" customHeight="1">
      <c r="A20" s="80"/>
      <c r="B20" s="79"/>
      <c r="C20" s="80"/>
      <c r="D20" s="81"/>
      <c r="E20" s="81"/>
      <c r="F20" s="81"/>
      <c r="G20" s="82"/>
      <c r="H20" s="103"/>
      <c r="I20" s="104"/>
      <c r="J20" s="82"/>
      <c r="K20" s="32"/>
      <c r="L20" s="30"/>
      <c r="M20" s="31"/>
      <c r="N20" s="33"/>
      <c r="O20" s="3"/>
      <c r="P20" s="3"/>
      <c r="Q20" s="3"/>
      <c r="R20" s="3"/>
      <c r="S20" s="3"/>
      <c r="T20" s="3"/>
      <c r="U20" s="3"/>
      <c r="V20" s="3"/>
      <c r="W20" s="3"/>
      <c r="X20" s="17"/>
      <c r="Y20" s="17"/>
      <c r="Z20" s="17"/>
      <c r="AA20" s="17"/>
      <c r="AB20" s="17"/>
    </row>
    <row r="21" spans="1:14" ht="12.75" customHeight="1">
      <c r="A21" s="97">
        <v>13</v>
      </c>
      <c r="B21" s="74" t="s">
        <v>26</v>
      </c>
      <c r="C21" s="75">
        <v>43873</v>
      </c>
      <c r="D21" s="76" t="str">
        <f>F6</f>
        <v>MTV 48 Hildesheim</v>
      </c>
      <c r="E21" s="77" t="s">
        <v>24</v>
      </c>
      <c r="F21" s="76" t="str">
        <f>D6</f>
        <v>MTV Bodenburg</v>
      </c>
      <c r="G21" s="78">
        <v>4</v>
      </c>
      <c r="H21" s="101">
        <v>0</v>
      </c>
      <c r="I21" s="102">
        <v>105</v>
      </c>
      <c r="J21" s="78">
        <v>89</v>
      </c>
      <c r="K21" s="5"/>
      <c r="L21" s="20">
        <f>IF($G21+$H21&lt;&gt;4,"",IF($G21&gt;$H21,2,IF($G21=$H21,1,0)))</f>
        <v>2</v>
      </c>
      <c r="M21" s="21">
        <f>IF($G21+$H21&lt;&gt;4,"",2-$L21)</f>
        <v>0</v>
      </c>
      <c r="N21" s="22">
        <f t="shared" si="0"/>
      </c>
    </row>
    <row r="22" spans="1:34" ht="12.75" customHeight="1">
      <c r="A22" s="97">
        <v>14</v>
      </c>
      <c r="B22" s="74" t="s">
        <v>23</v>
      </c>
      <c r="C22" s="75">
        <v>43871</v>
      </c>
      <c r="D22" s="76" t="str">
        <f>F7</f>
        <v>MTV SG Bors/Hars/Acht II</v>
      </c>
      <c r="E22" s="77" t="s">
        <v>24</v>
      </c>
      <c r="F22" s="76" t="str">
        <f>D7</f>
        <v>SV Hildesia Diekholzen II</v>
      </c>
      <c r="G22" s="78">
        <v>4</v>
      </c>
      <c r="H22" s="101">
        <v>0</v>
      </c>
      <c r="I22" s="102">
        <v>100</v>
      </c>
      <c r="J22" s="78">
        <v>66</v>
      </c>
      <c r="K22" s="22"/>
      <c r="L22" s="20">
        <f>IF($G22+$H22&lt;&gt;4,"",IF($G22&gt;$H22,2,IF($G22=$H22,1,0)))</f>
        <v>2</v>
      </c>
      <c r="M22" s="21">
        <f>IF($G22+$H22&lt;&gt;4,"",2-$L22)</f>
        <v>0</v>
      </c>
      <c r="N22" s="22">
        <f t="shared" si="0"/>
      </c>
      <c r="O22" s="37"/>
      <c r="P22" s="37"/>
      <c r="Q22" s="37"/>
      <c r="R22" s="37"/>
      <c r="S22" s="37"/>
      <c r="T22" s="37"/>
      <c r="U22" s="37"/>
      <c r="V22" s="37"/>
      <c r="W22" s="37"/>
      <c r="X22" s="38"/>
      <c r="Y22" s="38"/>
      <c r="Z22" s="38"/>
      <c r="AA22" s="38"/>
      <c r="AB22" s="38"/>
      <c r="AC22" s="39"/>
      <c r="AD22" s="39"/>
      <c r="AE22" s="39"/>
      <c r="AF22" s="39"/>
      <c r="AG22" s="39"/>
      <c r="AH22" s="39"/>
    </row>
    <row r="23" spans="1:14" ht="12.75" customHeight="1">
      <c r="A23" s="80"/>
      <c r="B23" s="79"/>
      <c r="C23" s="80"/>
      <c r="D23" s="81"/>
      <c r="E23" s="81"/>
      <c r="F23" s="81"/>
      <c r="G23" s="82"/>
      <c r="H23" s="103"/>
      <c r="I23" s="104"/>
      <c r="J23" s="82"/>
      <c r="K23" s="32"/>
      <c r="L23" s="30"/>
      <c r="M23" s="31"/>
      <c r="N23" s="33"/>
    </row>
    <row r="24" spans="1:14" ht="12.75" customHeight="1">
      <c r="A24" s="97">
        <v>15</v>
      </c>
      <c r="B24" s="74" t="s">
        <v>23</v>
      </c>
      <c r="C24" s="75">
        <v>43892</v>
      </c>
      <c r="D24" s="76" t="str">
        <f>F9</f>
        <v>MTV SG Bors/Hars/Acht II</v>
      </c>
      <c r="E24" s="77" t="s">
        <v>24</v>
      </c>
      <c r="F24" s="76" t="str">
        <f>D9</f>
        <v>MTV 48 Hildesheim</v>
      </c>
      <c r="G24" s="78">
        <v>3</v>
      </c>
      <c r="H24" s="101">
        <v>1</v>
      </c>
      <c r="I24" s="102">
        <v>96</v>
      </c>
      <c r="J24" s="78">
        <v>87</v>
      </c>
      <c r="K24" s="5"/>
      <c r="L24" s="20">
        <f>IF($G24+$H24&lt;&gt;4,"",IF($G24&gt;$H24,2,IF($G24=$H24,1,0)))</f>
        <v>2</v>
      </c>
      <c r="M24" s="21">
        <f>IF($G24+$H24&lt;&gt;4,"",2-$L24)</f>
        <v>0</v>
      </c>
      <c r="N24" s="22">
        <f t="shared" si="0"/>
      </c>
    </row>
    <row r="25" spans="1:14" ht="12.75" customHeight="1">
      <c r="A25" s="97">
        <v>16</v>
      </c>
      <c r="B25" s="74" t="s">
        <v>23</v>
      </c>
      <c r="C25" s="75">
        <v>43906</v>
      </c>
      <c r="D25" s="76" t="str">
        <f>F10</f>
        <v>MTV Bodenburg</v>
      </c>
      <c r="E25" s="77" t="s">
        <v>24</v>
      </c>
      <c r="F25" s="76" t="str">
        <f>D10</f>
        <v>SV Hildesia Diekholzen I</v>
      </c>
      <c r="G25" s="78"/>
      <c r="H25" s="101"/>
      <c r="I25" s="102"/>
      <c r="J25" s="78"/>
      <c r="K25" s="22"/>
      <c r="L25" s="20">
        <f>IF($G25+$H25&lt;&gt;4,"",IF($G25&gt;$H25,2,IF($G25=$H25,1,0)))</f>
      </c>
      <c r="M25" s="21">
        <f>IF($G25+$H25&lt;&gt;4,"",2-$L25)</f>
      </c>
      <c r="N25" s="22">
        <f t="shared" si="0"/>
      </c>
    </row>
    <row r="26" spans="1:14" ht="12.75" customHeight="1">
      <c r="A26" s="80"/>
      <c r="B26" s="83"/>
      <c r="C26" s="84"/>
      <c r="D26" s="81"/>
      <c r="E26" s="81"/>
      <c r="F26" s="81"/>
      <c r="G26" s="82"/>
      <c r="H26" s="103"/>
      <c r="I26" s="104"/>
      <c r="J26" s="82"/>
      <c r="K26" s="32"/>
      <c r="L26" s="30"/>
      <c r="M26" s="31"/>
      <c r="N26" s="33"/>
    </row>
    <row r="27" spans="1:14" ht="12.75" customHeight="1">
      <c r="A27" s="97">
        <v>17</v>
      </c>
      <c r="B27" s="74" t="s">
        <v>23</v>
      </c>
      <c r="C27" s="75">
        <v>43962</v>
      </c>
      <c r="D27" s="76" t="str">
        <f>F12</f>
        <v>SV Hildesia Diekholzen I</v>
      </c>
      <c r="E27" s="77" t="s">
        <v>24</v>
      </c>
      <c r="F27" s="76" t="str">
        <f>D12</f>
        <v>SV Hildesia Diekholzen II</v>
      </c>
      <c r="G27" s="78"/>
      <c r="H27" s="101"/>
      <c r="I27" s="102"/>
      <c r="J27" s="78"/>
      <c r="K27" s="5"/>
      <c r="L27" s="20">
        <f>IF($G27+$H27&lt;&gt;4,"",IF($G27&gt;$H27,2,IF($G27=$H27,1,0)))</f>
      </c>
      <c r="M27" s="21">
        <f>IF($G27+$H27&lt;&gt;4,"",2-$L27)</f>
      </c>
      <c r="N27" s="22">
        <f t="shared" si="0"/>
      </c>
    </row>
    <row r="28" spans="1:14" ht="12.75" customHeight="1">
      <c r="A28" s="97">
        <v>18</v>
      </c>
      <c r="B28" s="74" t="s">
        <v>23</v>
      </c>
      <c r="C28" s="75">
        <v>43962</v>
      </c>
      <c r="D28" s="76" t="str">
        <f>F13</f>
        <v>MTV Bodenburg</v>
      </c>
      <c r="E28" s="77" t="s">
        <v>24</v>
      </c>
      <c r="F28" s="76" t="str">
        <f>D13</f>
        <v>MTV SG Bors/Hars/Acht II</v>
      </c>
      <c r="G28" s="78"/>
      <c r="H28" s="101"/>
      <c r="I28" s="102"/>
      <c r="J28" s="78"/>
      <c r="K28" s="22"/>
      <c r="L28" s="20">
        <f>IF($G28+$H28&lt;&gt;4,"",IF($G28&gt;$H28,2,IF($G28=$H28,1,0)))</f>
      </c>
      <c r="M28" s="21">
        <f>IF($G28+$H28&lt;&gt;4,"",2-$L28)</f>
      </c>
      <c r="N28" s="22">
        <f t="shared" si="0"/>
      </c>
    </row>
    <row r="29" spans="1:14" ht="12.75" customHeight="1">
      <c r="A29" s="80"/>
      <c r="B29" s="79"/>
      <c r="C29" s="80"/>
      <c r="D29" s="81"/>
      <c r="E29" s="81"/>
      <c r="F29" s="81"/>
      <c r="G29" s="82"/>
      <c r="H29" s="103"/>
      <c r="I29" s="104"/>
      <c r="J29" s="82"/>
      <c r="K29" s="32"/>
      <c r="L29" s="30"/>
      <c r="M29" s="31"/>
      <c r="N29" s="33"/>
    </row>
    <row r="30" spans="1:14" ht="12.75" customHeight="1">
      <c r="A30" s="97">
        <v>19</v>
      </c>
      <c r="B30" s="74" t="s">
        <v>23</v>
      </c>
      <c r="C30" s="75">
        <v>43948</v>
      </c>
      <c r="D30" s="76" t="str">
        <f>F15</f>
        <v>SV Hildesia Diekholzen II</v>
      </c>
      <c r="E30" s="77" t="s">
        <v>24</v>
      </c>
      <c r="F30" s="76" t="str">
        <f>D15</f>
        <v>MTV Bodenburg</v>
      </c>
      <c r="G30" s="78"/>
      <c r="H30" s="101"/>
      <c r="I30" s="102"/>
      <c r="J30" s="78"/>
      <c r="K30" s="5"/>
      <c r="L30" s="20">
        <f>IF($G30+$H30&lt;&gt;4,"",IF($G30&gt;$H30,2,IF($G30=$H30,1,0)))</f>
      </c>
      <c r="M30" s="21">
        <f>IF($G30+$H30&lt;&gt;4,"",2-$L30)</f>
      </c>
      <c r="N30" s="22">
        <f t="shared" si="0"/>
      </c>
    </row>
    <row r="31" spans="1:14" ht="12.75" customHeight="1">
      <c r="A31" s="97">
        <v>20</v>
      </c>
      <c r="B31" s="74" t="s">
        <v>26</v>
      </c>
      <c r="C31" s="75">
        <v>43908</v>
      </c>
      <c r="D31" s="76" t="str">
        <f>F16</f>
        <v>MTV 48 Hildesheim</v>
      </c>
      <c r="E31" s="77" t="s">
        <v>24</v>
      </c>
      <c r="F31" s="76" t="str">
        <f>D16</f>
        <v>SV Hildesia Diekholzen I</v>
      </c>
      <c r="G31" s="78"/>
      <c r="H31" s="101"/>
      <c r="I31" s="102"/>
      <c r="J31" s="78"/>
      <c r="K31" s="22"/>
      <c r="L31" s="20">
        <f>IF($G31+$H31&lt;&gt;4,"",IF($G31&gt;$H31,2,IF($G31=$H31,1,0)))</f>
      </c>
      <c r="M31" s="21">
        <f>IF($G31+$H31&lt;&gt;4,"",2-$L31)</f>
      </c>
      <c r="N31" s="22">
        <f t="shared" si="0"/>
      </c>
    </row>
    <row r="32" spans="1:13" ht="12.75" customHeight="1">
      <c r="A32" s="40"/>
      <c r="B32" s="40"/>
      <c r="C32" s="41"/>
      <c r="D32" s="42"/>
      <c r="E32" s="43"/>
      <c r="F32" s="44"/>
      <c r="L32" s="3"/>
      <c r="M32" s="3"/>
    </row>
    <row r="33" spans="1:35" s="49" customFormat="1" ht="12.75" customHeight="1">
      <c r="A33" s="36" t="s">
        <v>28</v>
      </c>
      <c r="B33" s="45"/>
      <c r="C33" s="45"/>
      <c r="D33" s="46"/>
      <c r="E33" s="47"/>
      <c r="F33" s="46"/>
      <c r="G33" s="107">
        <f>SUM(G3:H32)</f>
        <v>60</v>
      </c>
      <c r="H33" s="107"/>
      <c r="I33" s="107">
        <f>SUM(I3:J32)</f>
        <v>2654</v>
      </c>
      <c r="J33" s="107"/>
      <c r="K33" s="48"/>
      <c r="L33" s="107">
        <f>SUM(L3:M32)</f>
        <v>30</v>
      </c>
      <c r="M33" s="107"/>
      <c r="N33" s="38"/>
      <c r="O33" s="4"/>
      <c r="P33" s="4"/>
      <c r="Q33" s="4"/>
      <c r="R33" s="4"/>
      <c r="S33" s="4"/>
      <c r="T33" s="4"/>
      <c r="U33" s="4"/>
      <c r="V33" s="4"/>
      <c r="W33" s="4"/>
      <c r="X33" s="5"/>
      <c r="Y33" s="5"/>
      <c r="Z33" s="5"/>
      <c r="AA33" s="5"/>
      <c r="AB33" s="5"/>
      <c r="AC33" s="6"/>
      <c r="AD33" s="6"/>
      <c r="AE33" s="6"/>
      <c r="AF33" s="6"/>
      <c r="AG33" s="6"/>
      <c r="AH33" s="6"/>
      <c r="AI33" s="39"/>
    </row>
    <row r="34" spans="4:6" ht="12.75">
      <c r="D34" s="44"/>
      <c r="E34" s="43"/>
      <c r="F34" s="44"/>
    </row>
    <row r="35" spans="1:34" ht="12.75">
      <c r="A35" s="100" t="s">
        <v>29</v>
      </c>
      <c r="B35" s="50"/>
      <c r="C35" s="51"/>
      <c r="D35" s="52" t="s">
        <v>53</v>
      </c>
      <c r="E35" s="43"/>
      <c r="F35" s="44"/>
      <c r="AD35" s="53" t="s">
        <v>31</v>
      </c>
      <c r="AE35" s="54"/>
      <c r="AF35" s="54"/>
      <c r="AG35" s="54"/>
      <c r="AH35" s="55"/>
    </row>
    <row r="36" spans="1:34" ht="12.75">
      <c r="A36" s="56"/>
      <c r="B36" s="56"/>
      <c r="C36" s="57"/>
      <c r="D36" s="52" t="s">
        <v>54</v>
      </c>
      <c r="E36" s="43"/>
      <c r="F36" s="44"/>
      <c r="AD36" s="58" t="s">
        <v>33</v>
      </c>
      <c r="AE36" s="59"/>
      <c r="AF36" s="59"/>
      <c r="AG36" s="59"/>
      <c r="AH36" s="60"/>
    </row>
    <row r="37" spans="1:34" ht="12.75">
      <c r="A37" s="61"/>
      <c r="B37" s="61"/>
      <c r="C37" s="62"/>
      <c r="D37" s="52" t="s">
        <v>55</v>
      </c>
      <c r="E37" s="43"/>
      <c r="F37" s="44"/>
      <c r="AD37" s="58" t="s">
        <v>35</v>
      </c>
      <c r="AE37" s="59"/>
      <c r="AF37" s="59"/>
      <c r="AG37" s="59"/>
      <c r="AH37" s="60"/>
    </row>
    <row r="38" spans="1:34" ht="12.75">
      <c r="A38" s="61"/>
      <c r="B38" s="61"/>
      <c r="C38" s="62"/>
      <c r="D38" s="52" t="s">
        <v>56</v>
      </c>
      <c r="E38" s="43"/>
      <c r="F38" s="44"/>
      <c r="AD38" s="58" t="s">
        <v>37</v>
      </c>
      <c r="AE38" s="59"/>
      <c r="AF38" s="59"/>
      <c r="AG38" s="59"/>
      <c r="AH38" s="60"/>
    </row>
    <row r="39" spans="4:34" ht="12.75">
      <c r="D39" s="52" t="s">
        <v>57</v>
      </c>
      <c r="E39" s="43"/>
      <c r="F39" s="44"/>
      <c r="AD39" s="63" t="s">
        <v>38</v>
      </c>
      <c r="AE39" s="64"/>
      <c r="AF39" s="64"/>
      <c r="AG39" s="64"/>
      <c r="AH39" s="65"/>
    </row>
  </sheetData>
  <sheetProtection selectLockedCells="1" selectUnlockedCells="1"/>
  <mergeCells count="12">
    <mergeCell ref="O1:AA1"/>
    <mergeCell ref="AC1:AH1"/>
    <mergeCell ref="D2:F2"/>
    <mergeCell ref="G2:H2"/>
    <mergeCell ref="I2:J2"/>
    <mergeCell ref="L2:M2"/>
    <mergeCell ref="G33:H33"/>
    <mergeCell ref="I33:J33"/>
    <mergeCell ref="L33:M33"/>
    <mergeCell ref="A1:F1"/>
    <mergeCell ref="G1:J1"/>
    <mergeCell ref="L1:M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36"/>
  <sheetViews>
    <sheetView tabSelected="1" zoomScalePageLayoutView="0" workbookViewId="0" topLeftCell="A1">
      <selection activeCell="AD16" sqref="AD16"/>
    </sheetView>
  </sheetViews>
  <sheetFormatPr defaultColWidth="11.421875" defaultRowHeight="12.75"/>
  <cols>
    <col min="1" max="1" width="4.421875" style="1" customWidth="1"/>
    <col min="2" max="2" width="3.7109375" style="1" customWidth="1"/>
    <col min="3" max="3" width="10.57421875" style="1" customWidth="1"/>
    <col min="4" max="4" width="19.421875" style="1" customWidth="1"/>
    <col min="5" max="5" width="2.57421875" style="2" customWidth="1"/>
    <col min="6" max="6" width="18.57421875" style="1" customWidth="1"/>
    <col min="7" max="8" width="5.57421875" style="3" customWidth="1"/>
    <col min="9" max="10" width="5.7109375" style="4" customWidth="1"/>
    <col min="11" max="11" width="0.71875" style="4" customWidth="1"/>
    <col min="12" max="13" width="5.8515625" style="4" customWidth="1"/>
    <col min="14" max="14" width="3.7109375" style="5" customWidth="1"/>
    <col min="15" max="15" width="5.140625" style="4" hidden="1" customWidth="1"/>
    <col min="16" max="16" width="20.7109375" style="4" hidden="1" customWidth="1"/>
    <col min="17" max="17" width="5.8515625" style="4" hidden="1" customWidth="1"/>
    <col min="18" max="23" width="5.57421875" style="4" hidden="1" customWidth="1"/>
    <col min="24" max="26" width="5.57421875" style="5" hidden="1" customWidth="1"/>
    <col min="27" max="27" width="9.57421875" style="5" hidden="1" customWidth="1"/>
    <col min="28" max="28" width="1.57421875" style="5" customWidth="1"/>
    <col min="29" max="29" width="5.421875" style="6" customWidth="1"/>
    <col min="30" max="30" width="20.57421875" style="6" customWidth="1"/>
    <col min="31" max="31" width="5.8515625" style="6" customWidth="1"/>
    <col min="32" max="34" width="8.421875" style="6" customWidth="1"/>
    <col min="35" max="35" width="11.421875" style="6" customWidth="1"/>
  </cols>
  <sheetData>
    <row r="1" spans="1:38" s="11" customFormat="1" ht="21" customHeight="1">
      <c r="A1" s="109" t="s">
        <v>58</v>
      </c>
      <c r="B1" s="109"/>
      <c r="C1" s="109"/>
      <c r="D1" s="109"/>
      <c r="E1" s="109"/>
      <c r="F1" s="109"/>
      <c r="G1" s="119" t="s">
        <v>1</v>
      </c>
      <c r="H1" s="119"/>
      <c r="I1" s="119"/>
      <c r="J1" s="119"/>
      <c r="K1" s="7"/>
      <c r="L1" s="111" t="s">
        <v>2</v>
      </c>
      <c r="M1" s="111"/>
      <c r="N1" s="8"/>
      <c r="O1" s="112" t="s">
        <v>3</v>
      </c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9"/>
      <c r="AC1" s="113" t="s">
        <v>4</v>
      </c>
      <c r="AD1" s="113"/>
      <c r="AE1" s="113"/>
      <c r="AF1" s="113"/>
      <c r="AG1" s="113"/>
      <c r="AH1" s="113"/>
      <c r="AI1" s="10"/>
      <c r="AJ1" s="10"/>
      <c r="AK1" s="10"/>
      <c r="AL1" s="10"/>
    </row>
    <row r="2" spans="1:35" s="19" customFormat="1" ht="35.25" customHeight="1">
      <c r="A2" s="105" t="s">
        <v>5</v>
      </c>
      <c r="B2" s="71" t="s">
        <v>6</v>
      </c>
      <c r="C2" s="72" t="s">
        <v>7</v>
      </c>
      <c r="D2" s="114" t="str">
        <f>IF(D32="","Bitte zuerst die 4 Mannschaftsnamen unten ab Zeile 32 eingeben","Spielpaarung")</f>
        <v>Spielpaarung</v>
      </c>
      <c r="E2" s="114"/>
      <c r="F2" s="114"/>
      <c r="G2" s="115" t="s">
        <v>8</v>
      </c>
      <c r="H2" s="116"/>
      <c r="I2" s="116" t="s">
        <v>9</v>
      </c>
      <c r="J2" s="117"/>
      <c r="K2" s="12"/>
      <c r="L2" s="118" t="s">
        <v>10</v>
      </c>
      <c r="M2" s="118"/>
      <c r="N2" s="12"/>
      <c r="O2" s="13" t="s">
        <v>11</v>
      </c>
      <c r="P2" s="13" t="s">
        <v>12</v>
      </c>
      <c r="Q2" s="13" t="s">
        <v>13</v>
      </c>
      <c r="R2" s="14" t="s">
        <v>14</v>
      </c>
      <c r="S2" s="15" t="s">
        <v>15</v>
      </c>
      <c r="T2" s="13" t="s">
        <v>10</v>
      </c>
      <c r="U2" s="14" t="s">
        <v>16</v>
      </c>
      <c r="V2" s="15" t="s">
        <v>17</v>
      </c>
      <c r="W2" s="13" t="s">
        <v>18</v>
      </c>
      <c r="X2" s="15" t="s">
        <v>19</v>
      </c>
      <c r="Y2" s="15" t="s">
        <v>20</v>
      </c>
      <c r="Z2" s="13" t="s">
        <v>21</v>
      </c>
      <c r="AA2" s="16" t="s">
        <v>22</v>
      </c>
      <c r="AB2" s="17"/>
      <c r="AC2" s="18" t="s">
        <v>11</v>
      </c>
      <c r="AD2" s="18" t="s">
        <v>12</v>
      </c>
      <c r="AE2" s="18" t="s">
        <v>13</v>
      </c>
      <c r="AF2" s="18" t="s">
        <v>10</v>
      </c>
      <c r="AG2" s="18" t="s">
        <v>18</v>
      </c>
      <c r="AH2" s="18" t="s">
        <v>21</v>
      </c>
      <c r="AI2" s="10"/>
    </row>
    <row r="3" spans="1:35" ht="12.75" customHeight="1">
      <c r="A3" s="97">
        <v>1</v>
      </c>
      <c r="B3" s="74" t="s">
        <v>40</v>
      </c>
      <c r="C3" s="75">
        <v>43728</v>
      </c>
      <c r="D3" s="76" t="str">
        <f>D32</f>
        <v>TuS Holle/Grasdorf</v>
      </c>
      <c r="E3" s="77" t="s">
        <v>24</v>
      </c>
      <c r="F3" s="76" t="str">
        <f>D33</f>
        <v>TSV Brüggen</v>
      </c>
      <c r="G3" s="78">
        <v>3</v>
      </c>
      <c r="H3" s="101">
        <v>1</v>
      </c>
      <c r="I3" s="102">
        <v>91</v>
      </c>
      <c r="J3" s="78">
        <v>89</v>
      </c>
      <c r="K3" s="5"/>
      <c r="L3" s="20">
        <f>IF($G3+$H3&lt;&gt;4,"",IF($G3&gt;$H3,2,IF($G3=$H3,1,0)))</f>
        <v>2</v>
      </c>
      <c r="M3" s="21">
        <f>IF($G3+$H3&lt;&gt;4,"",2-$L3)</f>
        <v>0</v>
      </c>
      <c r="N3" s="22">
        <f>IF(AND(G3&lt;&gt;"",H3&lt;&gt;"",G3+H3&lt;&gt;4),"!!!","")</f>
      </c>
      <c r="O3" s="23">
        <f>RANK(AA3,$AA$3:$AA$7)</f>
        <v>1</v>
      </c>
      <c r="P3" s="24" t="str">
        <f>D32</f>
        <v>TuS Holle/Grasdorf</v>
      </c>
      <c r="Q3" s="23">
        <f>(R3+S3)/2</f>
        <v>8</v>
      </c>
      <c r="R3" s="25">
        <f>SUMIF($D$3:$D$28,$P3,$L$3:$L$28)+SUMIF($F$3:$F$28,$P3,$M$3:$M$28)</f>
        <v>15</v>
      </c>
      <c r="S3" s="26">
        <f>SUMIF($D$3:$D$28,$P3,$M$3:$M$28)+SUMIF($F$3:$F$28,$P3,$L$3:$L$28)</f>
        <v>1</v>
      </c>
      <c r="T3" s="23" t="str">
        <f>R3&amp;" : "&amp;S3</f>
        <v>15 : 1</v>
      </c>
      <c r="U3" s="25">
        <f>SUMIF($D$3:$D$28,$P3,$G$3:$G$28)+SUMIF($F$3:$F$28,$P3,$H$3:$H$28)</f>
        <v>26</v>
      </c>
      <c r="V3" s="26">
        <f>SUMIF($D$3:$D$28,$P3,$H$3:$H$28)+SUMIF($F$3:$F$28,$P3,$G$3:$G$28)</f>
        <v>6</v>
      </c>
      <c r="W3" s="23" t="str">
        <f>U3&amp;" : "&amp;V3</f>
        <v>26 : 6</v>
      </c>
      <c r="X3" s="25">
        <f>SUMIF($D$3:$D$28,$P3,$I$3:$I$28)+SUMIF($F$3:$F$28,$P3,$J$3:$J$28)</f>
        <v>764</v>
      </c>
      <c r="Y3" s="26">
        <f>SUMIF($D$3:$D$28,$P3,$J$3:$J$28)+SUMIF($F$3:$F$28,$P3,$I$3:$I$28)</f>
        <v>611</v>
      </c>
      <c r="Z3" s="23" t="str">
        <f>X3&amp;" : "&amp;Y3</f>
        <v>764 : 611</v>
      </c>
      <c r="AA3" s="27">
        <f>R3*1000000000+(R3-S3)*10000000+(U3-V3)*10000+(X3-Y3)-ROW(P3)/100</f>
        <v>15140200152.97</v>
      </c>
      <c r="AB3" s="17"/>
      <c r="AC3" s="28">
        <v>1</v>
      </c>
      <c r="AD3" s="29" t="str">
        <f>VLOOKUP($AC3,$O$3:$P$7,2,FALSE)</f>
        <v>TuS Holle/Grasdorf</v>
      </c>
      <c r="AE3" s="28">
        <f>VLOOKUP($AC3,$O$3:$Z$7,3,FALSE)</f>
        <v>8</v>
      </c>
      <c r="AF3" s="28" t="str">
        <f>VLOOKUP($AC3,$O$3:$Z$7,6,FALSE)</f>
        <v>15 : 1</v>
      </c>
      <c r="AG3" s="28" t="str">
        <f>VLOOKUP($AC3,$O$3:$Z$7,9,FALSE)</f>
        <v>26 : 6</v>
      </c>
      <c r="AH3" s="28" t="str">
        <f>VLOOKUP($AC3,$O$3:$Z$7,12,FALSE)</f>
        <v>764 : 611</v>
      </c>
      <c r="AI3"/>
    </row>
    <row r="4" spans="1:35" ht="12.75" customHeight="1">
      <c r="A4" s="97">
        <v>2</v>
      </c>
      <c r="B4" s="74" t="s">
        <v>23</v>
      </c>
      <c r="C4" s="75">
        <v>43724</v>
      </c>
      <c r="D4" s="76" t="str">
        <f>D34</f>
        <v>MTV Bledeln</v>
      </c>
      <c r="E4" s="77" t="s">
        <v>24</v>
      </c>
      <c r="F4" s="76" t="str">
        <f>D35</f>
        <v>TSV Sibbesse II</v>
      </c>
      <c r="G4" s="78">
        <v>3</v>
      </c>
      <c r="H4" s="101">
        <v>1</v>
      </c>
      <c r="I4" s="102">
        <v>100</v>
      </c>
      <c r="J4" s="78">
        <v>87</v>
      </c>
      <c r="K4" s="22"/>
      <c r="L4" s="20">
        <f>IF($G4+$H4&lt;&gt;4,"",IF($G4&gt;$H4,2,IF($G4=$H4,1,0)))</f>
        <v>2</v>
      </c>
      <c r="M4" s="21">
        <f>IF($G4+$H4&lt;&gt;4,"",2-$L4)</f>
        <v>0</v>
      </c>
      <c r="N4" s="22">
        <f>IF(AND(G4&lt;&gt;"",H4&lt;&gt;"",G4+H4&lt;&gt;4),"!!!","")</f>
      </c>
      <c r="O4" s="23">
        <f>RANK(AA4,$AA$3:$AA$7)</f>
        <v>2</v>
      </c>
      <c r="P4" s="24" t="str">
        <f>D33</f>
        <v>TSV Brüggen</v>
      </c>
      <c r="Q4" s="23">
        <f>(R4+S4)/2</f>
        <v>5</v>
      </c>
      <c r="R4" s="25">
        <f>SUMIF($D$3:$D$28,$P4,$L$3:$L$28)+SUMIF($F$3:$F$28,$P4,$M$3:$M$28)</f>
        <v>6</v>
      </c>
      <c r="S4" s="26">
        <f>SUMIF($D$3:$D$28,$P4,$M$3:$M$28)+SUMIF($F$3:$F$28,$P4,$L$3:$L$28)</f>
        <v>4</v>
      </c>
      <c r="T4" s="23" t="str">
        <f>R4&amp;" : "&amp;S4</f>
        <v>6 : 4</v>
      </c>
      <c r="U4" s="25">
        <f>SUMIF($D$3:$D$28,$P4,$G$3:$G$28)+SUMIF($F$3:$F$28,$P4,$H$3:$H$28)</f>
        <v>12</v>
      </c>
      <c r="V4" s="26">
        <f>SUMIF($D$3:$D$28,$P4,$H$3:$H$28)+SUMIF($F$3:$F$28,$P4,$G$3:$G$28)</f>
        <v>8</v>
      </c>
      <c r="W4" s="23" t="str">
        <f>U4&amp;" : "&amp;V4</f>
        <v>12 : 8</v>
      </c>
      <c r="X4" s="25">
        <f>SUMIF($D$3:$D$28,$P4,$I$3:$I$28)+SUMIF($F$3:$F$28,$P4,$J$3:$J$28)</f>
        <v>454</v>
      </c>
      <c r="Y4" s="26">
        <f>SUMIF($D$3:$D$28,$P4,$J$3:$J$28)+SUMIF($F$3:$F$28,$P4,$I$3:$I$28)</f>
        <v>374</v>
      </c>
      <c r="Z4" s="23" t="str">
        <f>X4&amp;" : "&amp;Y4</f>
        <v>454 : 374</v>
      </c>
      <c r="AA4" s="27">
        <f>R4*1000000000+(R4-S4)*10000000+(U4-V4)*10000+(X4-Y4)-ROW(P4)/100</f>
        <v>6020040079.96</v>
      </c>
      <c r="AB4" s="17"/>
      <c r="AC4" s="28">
        <v>2</v>
      </c>
      <c r="AD4" s="29" t="str">
        <f>VLOOKUP($AC4,$O$3:$Z$7,2,FALSE)</f>
        <v>TSV Brüggen</v>
      </c>
      <c r="AE4" s="28">
        <f>VLOOKUP($AC4,$O$3:$Z$7,3,FALSE)</f>
        <v>5</v>
      </c>
      <c r="AF4" s="28" t="str">
        <f>VLOOKUP($AC4,$O$3:$Z$7,6,FALSE)</f>
        <v>6 : 4</v>
      </c>
      <c r="AG4" s="28" t="str">
        <f>VLOOKUP($AC4,$O$3:$Z$7,9,FALSE)</f>
        <v>12 : 8</v>
      </c>
      <c r="AH4" s="28" t="str">
        <f>VLOOKUP($AC4,$O$3:$Z$7,12,FALSE)</f>
        <v>454 : 374</v>
      </c>
      <c r="AI4"/>
    </row>
    <row r="5" spans="1:35" ht="12.75" customHeight="1">
      <c r="A5" s="80"/>
      <c r="B5" s="79"/>
      <c r="C5" s="80"/>
      <c r="D5" s="81"/>
      <c r="E5" s="81"/>
      <c r="F5" s="81"/>
      <c r="G5" s="82"/>
      <c r="H5" s="103"/>
      <c r="I5" s="104"/>
      <c r="J5" s="82"/>
      <c r="K5" s="32"/>
      <c r="L5" s="30"/>
      <c r="M5" s="31"/>
      <c r="N5" s="33"/>
      <c r="O5" s="23">
        <f>RANK(AA5,$AA$3:$AA$7)</f>
        <v>3</v>
      </c>
      <c r="P5" s="24" t="str">
        <f>D34</f>
        <v>MTV Bledeln</v>
      </c>
      <c r="Q5" s="23">
        <f>(R5+S5)/2</f>
        <v>7</v>
      </c>
      <c r="R5" s="25">
        <f>SUMIF($D$3:$D$28,$P5,$L$3:$L$28)+SUMIF($F$3:$F$28,$P5,$M$3:$M$28)</f>
        <v>4</v>
      </c>
      <c r="S5" s="26">
        <f>SUMIF($D$3:$D$28,$P5,$M$3:$M$28)+SUMIF($F$3:$F$28,$P5,$L$3:$L$28)</f>
        <v>10</v>
      </c>
      <c r="T5" s="23" t="str">
        <f>R5&amp;" : "&amp;S5</f>
        <v>4 : 10</v>
      </c>
      <c r="U5" s="25">
        <f>SUMIF($D$3:$D$28,$P5,$G$3:$G$28)+SUMIF($F$3:$F$28,$P5,$H$3:$H$28)</f>
        <v>7</v>
      </c>
      <c r="V5" s="26">
        <f>SUMIF($D$3:$D$28,$P5,$H$3:$H$28)+SUMIF($F$3:$F$28,$P5,$G$3:$G$28)</f>
        <v>21</v>
      </c>
      <c r="W5" s="23" t="str">
        <f>U5&amp;" : "&amp;V5</f>
        <v>7 : 21</v>
      </c>
      <c r="X5" s="25">
        <f>SUMIF($D$3:$D$28,$P5,$I$3:$I$28)+SUMIF($F$3:$F$28,$P5,$J$3:$J$28)</f>
        <v>500</v>
      </c>
      <c r="Y5" s="26">
        <f>SUMIF($D$3:$D$28,$P5,$J$3:$J$28)+SUMIF($F$3:$F$28,$P5,$I$3:$I$28)</f>
        <v>646</v>
      </c>
      <c r="Z5" s="23" t="str">
        <f>X5&amp;" : "&amp;Y5</f>
        <v>500 : 646</v>
      </c>
      <c r="AA5" s="27">
        <f>R5*1000000000+(R5-S5)*10000000+(U5-V5)*10000+(X5-Y5)-ROW(P5)/100</f>
        <v>3939859853.95</v>
      </c>
      <c r="AB5" s="17"/>
      <c r="AC5" s="28">
        <v>3</v>
      </c>
      <c r="AD5" s="29" t="str">
        <f>VLOOKUP($AC5,$O$3:$Z$7,2,FALSE)</f>
        <v>MTV Bledeln</v>
      </c>
      <c r="AE5" s="28">
        <f>VLOOKUP($AC5,$O$3:$Z$7,3,FALSE)</f>
        <v>7</v>
      </c>
      <c r="AF5" s="28" t="str">
        <f>VLOOKUP($AC5,$O$3:$Z$7,6,FALSE)</f>
        <v>4 : 10</v>
      </c>
      <c r="AG5" s="28" t="str">
        <f>VLOOKUP($AC5,$O$3:$Z$7,9,FALSE)</f>
        <v>7 : 21</v>
      </c>
      <c r="AH5" s="28" t="str">
        <f>VLOOKUP($AC5,$O$3:$Z$7,12,FALSE)</f>
        <v>500 : 646</v>
      </c>
      <c r="AI5"/>
    </row>
    <row r="6" spans="1:35" ht="12.75" customHeight="1">
      <c r="A6" s="97">
        <v>3</v>
      </c>
      <c r="B6" s="74" t="s">
        <v>27</v>
      </c>
      <c r="C6" s="75">
        <v>43776</v>
      </c>
      <c r="D6" s="76" t="str">
        <f>D35</f>
        <v>TSV Sibbesse II</v>
      </c>
      <c r="E6" s="77" t="s">
        <v>24</v>
      </c>
      <c r="F6" s="76" t="str">
        <f>D32</f>
        <v>TuS Holle/Grasdorf</v>
      </c>
      <c r="G6" s="78">
        <v>1</v>
      </c>
      <c r="H6" s="101">
        <v>3</v>
      </c>
      <c r="I6" s="102">
        <v>62</v>
      </c>
      <c r="J6" s="78">
        <v>93</v>
      </c>
      <c r="K6" s="5"/>
      <c r="L6" s="20">
        <f>IF($G6+$H6&lt;&gt;4,"",IF($G6&gt;$H6,2,IF($G6=$H6,1,0)))</f>
        <v>0</v>
      </c>
      <c r="M6" s="21">
        <f>IF($G6+$H6&lt;&gt;4,"",2-$L6)</f>
        <v>2</v>
      </c>
      <c r="N6" s="22">
        <f>IF(AND(G6&lt;&gt;"",H6&lt;&gt;"",G6+H6&lt;&gt;4),"!!!","")</f>
      </c>
      <c r="O6" s="23">
        <f>RANK(AA6,$AA$3:$AA$7)</f>
        <v>4</v>
      </c>
      <c r="P6" s="24" t="str">
        <f>D35</f>
        <v>TSV Sibbesse II</v>
      </c>
      <c r="Q6" s="23">
        <f>(R6+S6)/2</f>
        <v>6</v>
      </c>
      <c r="R6" s="25">
        <f>SUMIF($D$3:$D$28,$P6,$L$3:$L$28)+SUMIF($F$3:$F$28,$P6,$M$3:$M$28)</f>
        <v>1</v>
      </c>
      <c r="S6" s="26">
        <f>SUMIF($D$3:$D$28,$P6,$M$3:$M$28)+SUMIF($F$3:$F$28,$P6,$L$3:$L$28)</f>
        <v>11</v>
      </c>
      <c r="T6" s="23" t="str">
        <f>R6&amp;" : "&amp;S6</f>
        <v>1 : 11</v>
      </c>
      <c r="U6" s="25">
        <f>SUMIF($D$3:$D$28,$P6,$G$3:$G$28)+SUMIF($F$3:$F$28,$P6,$H$3:$H$28)</f>
        <v>7</v>
      </c>
      <c r="V6" s="26">
        <f>SUMIF($D$3:$D$28,$P6,$H$3:$H$28)+SUMIF($F$3:$F$28,$P6,$G$3:$G$28)</f>
        <v>17</v>
      </c>
      <c r="W6" s="23" t="str">
        <f>U6&amp;" : "&amp;V6</f>
        <v>7 : 17</v>
      </c>
      <c r="X6" s="25">
        <f>SUMIF($D$3:$D$28,$P6,$I$3:$I$28)+SUMIF($F$3:$F$28,$P6,$J$3:$J$28)</f>
        <v>488</v>
      </c>
      <c r="Y6" s="26">
        <f>SUMIF($D$3:$D$28,$P6,$J$3:$J$28)+SUMIF($F$3:$F$28,$P6,$I$3:$I$28)</f>
        <v>575</v>
      </c>
      <c r="Z6" s="23" t="str">
        <f>X6&amp;" : "&amp;Y6</f>
        <v>488 : 575</v>
      </c>
      <c r="AA6" s="27">
        <f>R6*1000000000+(R6-S6)*10000000+(U6-V6)*10000+(X6-Y6)-ROW(P6)/100</f>
        <v>899899912.94</v>
      </c>
      <c r="AB6" s="17"/>
      <c r="AC6" s="28">
        <v>4</v>
      </c>
      <c r="AD6" s="29" t="str">
        <f>VLOOKUP($AC6,$O$3:$Z$7,2,FALSE)</f>
        <v>TSV Sibbesse II</v>
      </c>
      <c r="AE6" s="28">
        <f>VLOOKUP($AC6,$O$3:$Z$7,3,FALSE)</f>
        <v>6</v>
      </c>
      <c r="AF6" s="28" t="str">
        <f>VLOOKUP($AC6,$O$3:$Z$7,6,FALSE)</f>
        <v>1 : 11</v>
      </c>
      <c r="AG6" s="28" t="str">
        <f>VLOOKUP($AC6,$O$3:$Z$7,9,FALSE)</f>
        <v>7 : 17</v>
      </c>
      <c r="AH6" s="28" t="str">
        <f>VLOOKUP($AC6,$O$3:$Z$7,12,FALSE)</f>
        <v>488 : 575</v>
      </c>
      <c r="AI6"/>
    </row>
    <row r="7" spans="1:35" ht="12.75" customHeight="1">
      <c r="A7" s="97">
        <v>4</v>
      </c>
      <c r="B7" s="74" t="s">
        <v>40</v>
      </c>
      <c r="C7" s="75">
        <v>43784</v>
      </c>
      <c r="D7" s="76" t="str">
        <f>D33</f>
        <v>TSV Brüggen</v>
      </c>
      <c r="E7" s="77" t="s">
        <v>24</v>
      </c>
      <c r="F7" s="76" t="str">
        <f>D34</f>
        <v>MTV Bledeln</v>
      </c>
      <c r="G7" s="78">
        <v>4</v>
      </c>
      <c r="H7" s="101">
        <v>0</v>
      </c>
      <c r="I7" s="102">
        <v>100</v>
      </c>
      <c r="J7" s="78">
        <v>46</v>
      </c>
      <c r="K7" s="22"/>
      <c r="L7" s="20">
        <f>IF($G7+$H7&lt;&gt;4,"",IF($G7&gt;$H7,2,IF($G7=$H7,1,0)))</f>
        <v>2</v>
      </c>
      <c r="M7" s="21">
        <f>IF($G7+$H7&lt;&gt;4,"",2-$L7)</f>
        <v>0</v>
      </c>
      <c r="N7" s="22">
        <f>IF(AND(G7&lt;&gt;"",H7&lt;&gt;"",G7+H7&lt;&gt;4),"!!!","")</f>
      </c>
      <c r="O7" s="3"/>
      <c r="P7" s="3"/>
      <c r="Q7" s="3"/>
      <c r="R7" s="3"/>
      <c r="S7" s="3"/>
      <c r="T7" s="3"/>
      <c r="U7" s="3"/>
      <c r="V7" s="3"/>
      <c r="W7" s="3"/>
      <c r="X7" s="17"/>
      <c r="Y7" s="17"/>
      <c r="Z7" s="17"/>
      <c r="AA7" s="17"/>
      <c r="AB7" s="17"/>
      <c r="AC7" s="34"/>
      <c r="AI7"/>
    </row>
    <row r="8" spans="1:35" ht="12.75" customHeight="1">
      <c r="A8" s="80"/>
      <c r="B8" s="79"/>
      <c r="C8" s="80"/>
      <c r="D8" s="81"/>
      <c r="E8" s="81"/>
      <c r="F8" s="81"/>
      <c r="G8" s="82"/>
      <c r="H8" s="103"/>
      <c r="I8" s="104"/>
      <c r="J8" s="82"/>
      <c r="K8" s="32"/>
      <c r="L8" s="30"/>
      <c r="M8" s="31"/>
      <c r="N8" s="33"/>
      <c r="O8" s="3"/>
      <c r="P8" s="3"/>
      <c r="Q8" s="3"/>
      <c r="R8" s="3"/>
      <c r="S8" s="3"/>
      <c r="T8" s="3"/>
      <c r="U8" s="3"/>
      <c r="V8" s="3"/>
      <c r="W8" s="3"/>
      <c r="X8" s="17"/>
      <c r="Y8" s="17"/>
      <c r="Z8" s="17"/>
      <c r="AA8" s="17"/>
      <c r="AB8" s="17"/>
      <c r="AC8" s="35" t="s">
        <v>28</v>
      </c>
      <c r="AD8" s="34"/>
      <c r="AE8" s="34"/>
      <c r="AF8" s="35">
        <f>SUM(R3:S6)/2</f>
        <v>26</v>
      </c>
      <c r="AG8" s="35">
        <f>SUM(U3:V6)/2</f>
        <v>52</v>
      </c>
      <c r="AH8" s="35">
        <f>SUM(X3:Y6)/2</f>
        <v>2206</v>
      </c>
      <c r="AI8"/>
    </row>
    <row r="9" spans="1:32" ht="12.75" customHeight="1">
      <c r="A9" s="97">
        <v>5</v>
      </c>
      <c r="B9" s="74" t="s">
        <v>40</v>
      </c>
      <c r="C9" s="75">
        <v>43798</v>
      </c>
      <c r="D9" s="76" t="str">
        <f>D32</f>
        <v>TuS Holle/Grasdorf</v>
      </c>
      <c r="E9" s="77" t="s">
        <v>24</v>
      </c>
      <c r="F9" s="76" t="str">
        <f>D34</f>
        <v>MTV Bledeln</v>
      </c>
      <c r="G9" s="78">
        <v>4</v>
      </c>
      <c r="H9" s="101">
        <v>0</v>
      </c>
      <c r="I9" s="102">
        <v>100</v>
      </c>
      <c r="J9" s="78">
        <v>72</v>
      </c>
      <c r="K9" s="5"/>
      <c r="L9" s="20">
        <f>IF($G9+$H9&lt;&gt;4,"",IF($G9&gt;$H9,2,IF($G9=$H9,1,0)))</f>
        <v>2</v>
      </c>
      <c r="M9" s="21">
        <f>IF($G9+$H9&lt;&gt;4,"",2-$L9)</f>
        <v>0</v>
      </c>
      <c r="N9" s="22">
        <f>IF(AND(G9&lt;&gt;"",H9&lt;&gt;"",G9+H9&lt;&gt;4),"!!!","")</f>
      </c>
      <c r="O9" s="3"/>
      <c r="P9" s="3"/>
      <c r="Q9" s="3"/>
      <c r="R9" s="3"/>
      <c r="S9" s="3"/>
      <c r="T9" s="3"/>
      <c r="U9" s="3"/>
      <c r="V9" s="3"/>
      <c r="W9" s="3"/>
      <c r="X9" s="17"/>
      <c r="Y9" s="17"/>
      <c r="Z9" s="17"/>
      <c r="AA9" s="17"/>
      <c r="AB9" s="17"/>
      <c r="AC9" s="34"/>
      <c r="AF9" s="66"/>
    </row>
    <row r="10" spans="1:29" ht="12.75" customHeight="1">
      <c r="A10" s="97">
        <v>6</v>
      </c>
      <c r="B10" s="74" t="s">
        <v>27</v>
      </c>
      <c r="C10" s="75">
        <v>43804</v>
      </c>
      <c r="D10" s="76" t="str">
        <f>D35</f>
        <v>TSV Sibbesse II</v>
      </c>
      <c r="E10" s="77" t="s">
        <v>24</v>
      </c>
      <c r="F10" s="76" t="str">
        <f>D33</f>
        <v>TSV Brüggen</v>
      </c>
      <c r="G10" s="78">
        <v>1</v>
      </c>
      <c r="H10" s="101">
        <v>3</v>
      </c>
      <c r="I10" s="102">
        <v>86</v>
      </c>
      <c r="J10" s="78">
        <v>102</v>
      </c>
      <c r="K10" s="22"/>
      <c r="L10" s="20">
        <f>IF($G10+$H10&lt;&gt;4,"",IF($G10&gt;$H10,2,IF($G10=$H10,1,0)))</f>
        <v>0</v>
      </c>
      <c r="M10" s="21">
        <f>IF($G10+$H10&lt;&gt;4,"",2-$L10)</f>
        <v>2</v>
      </c>
      <c r="N10" s="22">
        <f>IF(AND(G10&lt;&gt;"",H10&lt;&gt;"",G10+H10&lt;&gt;4),"!!!","")</f>
      </c>
      <c r="O10" s="3"/>
      <c r="P10" s="3"/>
      <c r="Q10" s="3"/>
      <c r="R10" s="3"/>
      <c r="S10" s="3"/>
      <c r="T10" s="3"/>
      <c r="U10" s="3"/>
      <c r="V10" s="3"/>
      <c r="W10" s="3"/>
      <c r="X10" s="17"/>
      <c r="Y10" s="17"/>
      <c r="Z10" s="17"/>
      <c r="AA10" s="17"/>
      <c r="AB10" s="17"/>
      <c r="AC10" s="34"/>
    </row>
    <row r="11" spans="1:28" ht="12.75" customHeight="1">
      <c r="A11" s="80"/>
      <c r="B11" s="79"/>
      <c r="C11" s="80"/>
      <c r="D11" s="81"/>
      <c r="E11" s="81"/>
      <c r="F11" s="81"/>
      <c r="G11" s="82"/>
      <c r="H11" s="103"/>
      <c r="I11" s="104"/>
      <c r="J11" s="82"/>
      <c r="K11" s="32"/>
      <c r="L11" s="30"/>
      <c r="M11" s="31"/>
      <c r="N11" s="33"/>
      <c r="O11" s="3"/>
      <c r="P11" s="3"/>
      <c r="Q11" s="3"/>
      <c r="R11" s="3"/>
      <c r="S11" s="3"/>
      <c r="T11" s="3"/>
      <c r="U11" s="3"/>
      <c r="V11" s="3"/>
      <c r="W11" s="3"/>
      <c r="X11" s="17"/>
      <c r="Y11" s="17"/>
      <c r="Z11" s="17"/>
      <c r="AA11" s="17"/>
      <c r="AB11" s="17"/>
    </row>
    <row r="12" spans="1:28" ht="12.75" customHeight="1">
      <c r="A12" s="97">
        <v>7</v>
      </c>
      <c r="B12" s="74" t="s">
        <v>40</v>
      </c>
      <c r="C12" s="75">
        <v>43819</v>
      </c>
      <c r="D12" s="76" t="str">
        <f>F3</f>
        <v>TSV Brüggen</v>
      </c>
      <c r="E12" s="77" t="s">
        <v>24</v>
      </c>
      <c r="F12" s="76" t="str">
        <f>D3</f>
        <v>TuS Holle/Grasdorf</v>
      </c>
      <c r="G12" s="78">
        <v>1</v>
      </c>
      <c r="H12" s="101">
        <v>3</v>
      </c>
      <c r="I12" s="102">
        <v>72</v>
      </c>
      <c r="J12" s="78">
        <v>92</v>
      </c>
      <c r="K12" s="5"/>
      <c r="L12" s="20">
        <f>IF($G12+$H12&lt;&gt;4,"",IF($G12&gt;$H12,2,IF($G12=$H12,1,0)))</f>
        <v>0</v>
      </c>
      <c r="M12" s="21">
        <f>IF($G12+$H12&lt;&gt;4,"",2-$L12)</f>
        <v>2</v>
      </c>
      <c r="N12" s="22">
        <f>IF(AND(G12&lt;&gt;"",H12&lt;&gt;"",G12+H12&lt;&gt;4),"!!!","")</f>
      </c>
      <c r="O12" s="3"/>
      <c r="P12" s="3"/>
      <c r="Q12" s="3"/>
      <c r="R12" s="3"/>
      <c r="S12" s="3"/>
      <c r="T12" s="3"/>
      <c r="U12" s="3"/>
      <c r="V12" s="3"/>
      <c r="W12" s="3"/>
      <c r="X12" s="17"/>
      <c r="Y12" s="17"/>
      <c r="Z12" s="17"/>
      <c r="AA12" s="17"/>
      <c r="AB12" s="17"/>
    </row>
    <row r="13" spans="1:28" ht="12.75" customHeight="1">
      <c r="A13" s="97">
        <v>8</v>
      </c>
      <c r="B13" s="74" t="s">
        <v>27</v>
      </c>
      <c r="C13" s="75">
        <v>43818</v>
      </c>
      <c r="D13" s="76" t="str">
        <f>F4</f>
        <v>TSV Sibbesse II</v>
      </c>
      <c r="E13" s="77" t="s">
        <v>24</v>
      </c>
      <c r="F13" s="76" t="str">
        <f>D4</f>
        <v>MTV Bledeln</v>
      </c>
      <c r="G13" s="78">
        <v>1</v>
      </c>
      <c r="H13" s="101">
        <v>3</v>
      </c>
      <c r="I13" s="102">
        <v>68</v>
      </c>
      <c r="J13" s="78">
        <v>92</v>
      </c>
      <c r="K13" s="22"/>
      <c r="L13" s="20">
        <f>IF($G13+$H13&lt;&gt;4,"",IF($G13&gt;$H13,2,IF($G13=$H13,1,0)))</f>
        <v>0</v>
      </c>
      <c r="M13" s="21">
        <f>IF($G13+$H13&lt;&gt;4,"",2-$L13)</f>
        <v>2</v>
      </c>
      <c r="N13" s="22">
        <f>IF(AND(G13&lt;&gt;"",H13&lt;&gt;"",G13+H13&lt;&gt;4),"!!!","")</f>
      </c>
      <c r="O13" s="3"/>
      <c r="P13" s="3"/>
      <c r="Q13" s="3"/>
      <c r="R13" s="3"/>
      <c r="S13" s="3"/>
      <c r="T13" s="3"/>
      <c r="U13" s="3"/>
      <c r="V13" s="3"/>
      <c r="W13" s="3"/>
      <c r="X13" s="17"/>
      <c r="Y13" s="17"/>
      <c r="Z13" s="17"/>
      <c r="AA13" s="17"/>
      <c r="AB13" s="17"/>
    </row>
    <row r="14" spans="1:28" ht="12.75" customHeight="1">
      <c r="A14" s="80"/>
      <c r="B14" s="79"/>
      <c r="C14" s="80"/>
      <c r="D14" s="81"/>
      <c r="E14" s="81"/>
      <c r="F14" s="81"/>
      <c r="G14" s="82"/>
      <c r="H14" s="103"/>
      <c r="I14" s="104"/>
      <c r="J14" s="82"/>
      <c r="K14" s="32"/>
      <c r="L14" s="30"/>
      <c r="M14" s="31"/>
      <c r="N14" s="33"/>
      <c r="O14" s="3"/>
      <c r="P14" s="3"/>
      <c r="Q14" s="3"/>
      <c r="R14" s="3"/>
      <c r="S14" s="3"/>
      <c r="T14" s="3"/>
      <c r="U14" s="3"/>
      <c r="V14" s="3"/>
      <c r="W14" s="3"/>
      <c r="X14" s="17"/>
      <c r="Y14" s="17"/>
      <c r="Z14" s="17"/>
      <c r="AA14" s="17"/>
      <c r="AB14" s="17"/>
    </row>
    <row r="15" spans="1:28" ht="12.75" customHeight="1">
      <c r="A15" s="97">
        <v>9</v>
      </c>
      <c r="B15" s="74" t="s">
        <v>40</v>
      </c>
      <c r="C15" s="75">
        <v>43847</v>
      </c>
      <c r="D15" s="76" t="str">
        <f>F6</f>
        <v>TuS Holle/Grasdorf</v>
      </c>
      <c r="E15" s="77" t="s">
        <v>24</v>
      </c>
      <c r="F15" s="76" t="str">
        <f>D6</f>
        <v>TSV Sibbesse II</v>
      </c>
      <c r="G15" s="78">
        <v>2</v>
      </c>
      <c r="H15" s="101">
        <v>2</v>
      </c>
      <c r="I15" s="102">
        <v>90</v>
      </c>
      <c r="J15" s="78">
        <v>95</v>
      </c>
      <c r="K15" s="5"/>
      <c r="L15" s="20">
        <f>IF($G15+$H15&lt;&gt;4,"",IF($G15&gt;$H15,2,IF($G15=$H15,1,0)))</f>
        <v>1</v>
      </c>
      <c r="M15" s="21">
        <f>IF($G15+$H15&lt;&gt;4,"",2-$L15)</f>
        <v>1</v>
      </c>
      <c r="N15" s="22">
        <f>IF(AND(G15&lt;&gt;"",H15&lt;&gt;"",G15+H15&lt;&gt;4),"!!!","")</f>
      </c>
      <c r="O15" s="3"/>
      <c r="P15" s="3"/>
      <c r="Q15" s="3"/>
      <c r="R15" s="3"/>
      <c r="S15" s="3"/>
      <c r="T15" s="3"/>
      <c r="U15" s="3"/>
      <c r="V15" s="3"/>
      <c r="W15" s="3"/>
      <c r="X15" s="17"/>
      <c r="Y15" s="17"/>
      <c r="Z15" s="17"/>
      <c r="AA15" s="17"/>
      <c r="AB15" s="17"/>
    </row>
    <row r="16" spans="1:28" ht="12.75" customHeight="1">
      <c r="A16" s="97">
        <v>10</v>
      </c>
      <c r="B16" s="74" t="s">
        <v>23</v>
      </c>
      <c r="C16" s="75">
        <v>43843</v>
      </c>
      <c r="D16" s="76" t="str">
        <f>F7</f>
        <v>MTV Bledeln</v>
      </c>
      <c r="E16" s="77" t="s">
        <v>24</v>
      </c>
      <c r="F16" s="76" t="str">
        <f>D7</f>
        <v>TSV Brüggen</v>
      </c>
      <c r="G16" s="78">
        <v>1</v>
      </c>
      <c r="H16" s="101">
        <v>3</v>
      </c>
      <c r="I16" s="102">
        <v>59</v>
      </c>
      <c r="J16" s="78">
        <v>91</v>
      </c>
      <c r="K16" s="22"/>
      <c r="L16" s="20">
        <f>IF($G16+$H16&lt;&gt;4,"",IF($G16&gt;$H16,2,IF($G16=$H16,1,0)))</f>
        <v>0</v>
      </c>
      <c r="M16" s="21">
        <f>IF($G16+$H16&lt;&gt;4,"",2-$L16)</f>
        <v>2</v>
      </c>
      <c r="N16" s="22">
        <f>IF(AND(G16&lt;&gt;"",H16&lt;&gt;"",G16+H16&lt;&gt;4),"!!!","")</f>
      </c>
      <c r="O16" s="3"/>
      <c r="P16" s="3"/>
      <c r="Q16" s="3"/>
      <c r="R16" s="3"/>
      <c r="S16" s="3"/>
      <c r="T16" s="3"/>
      <c r="U16" s="3"/>
      <c r="V16" s="3"/>
      <c r="W16" s="3"/>
      <c r="X16" s="17"/>
      <c r="Y16" s="17"/>
      <c r="Z16" s="17"/>
      <c r="AA16" s="17"/>
      <c r="AB16" s="17"/>
    </row>
    <row r="17" spans="1:28" ht="12.75" customHeight="1">
      <c r="A17" s="80"/>
      <c r="B17" s="79"/>
      <c r="C17" s="80"/>
      <c r="D17" s="81"/>
      <c r="E17" s="81"/>
      <c r="F17" s="81"/>
      <c r="G17" s="82"/>
      <c r="H17" s="103"/>
      <c r="I17" s="104"/>
      <c r="J17" s="82"/>
      <c r="K17" s="32"/>
      <c r="L17" s="30"/>
      <c r="M17" s="31"/>
      <c r="N17" s="33"/>
      <c r="O17" s="3"/>
      <c r="P17" s="3"/>
      <c r="Q17" s="3"/>
      <c r="R17" s="3"/>
      <c r="S17" s="3"/>
      <c r="T17" s="3"/>
      <c r="U17" s="3"/>
      <c r="V17" s="3"/>
      <c r="W17" s="3"/>
      <c r="X17" s="17"/>
      <c r="Y17" s="17"/>
      <c r="Z17" s="17"/>
      <c r="AA17" s="17"/>
      <c r="AB17" s="17"/>
    </row>
    <row r="18" spans="1:28" ht="12.75" customHeight="1">
      <c r="A18" s="97">
        <v>11</v>
      </c>
      <c r="B18" s="74" t="s">
        <v>23</v>
      </c>
      <c r="C18" s="75">
        <v>43857</v>
      </c>
      <c r="D18" s="76" t="str">
        <f>F9</f>
        <v>MTV Bledeln</v>
      </c>
      <c r="E18" s="77" t="s">
        <v>24</v>
      </c>
      <c r="F18" s="76" t="str">
        <f>D9</f>
        <v>TuS Holle/Grasdorf</v>
      </c>
      <c r="G18" s="78">
        <v>0</v>
      </c>
      <c r="H18" s="101">
        <v>4</v>
      </c>
      <c r="I18" s="102">
        <v>65</v>
      </c>
      <c r="J18" s="78">
        <v>100</v>
      </c>
      <c r="K18" s="5"/>
      <c r="L18" s="20">
        <f>IF($G18+$H18&lt;&gt;4,"",IF($G18&gt;$H18,2,IF($G18=$H18,1,0)))</f>
        <v>0</v>
      </c>
      <c r="M18" s="21">
        <f>IF($G18+$H18&lt;&gt;4,"",2-$L18)</f>
        <v>2</v>
      </c>
      <c r="N18" s="22">
        <f>IF(AND(G18&lt;&gt;"",H18&lt;&gt;"",G18+H18&lt;&gt;4),"!!!","")</f>
      </c>
      <c r="O18" s="3"/>
      <c r="P18" s="3"/>
      <c r="Q18" s="3"/>
      <c r="R18" s="3"/>
      <c r="S18" s="3"/>
      <c r="T18" s="3"/>
      <c r="U18" s="3"/>
      <c r="V18" s="3"/>
      <c r="W18" s="3"/>
      <c r="X18" s="17"/>
      <c r="Y18" s="17"/>
      <c r="Z18" s="17"/>
      <c r="AA18" s="17"/>
      <c r="AB18" s="17"/>
    </row>
    <row r="19" spans="1:28" ht="12.75" customHeight="1">
      <c r="A19" s="97">
        <v>12</v>
      </c>
      <c r="B19" s="74" t="s">
        <v>40</v>
      </c>
      <c r="C19" s="75">
        <v>43861</v>
      </c>
      <c r="D19" s="76" t="str">
        <f>F10</f>
        <v>TSV Brüggen</v>
      </c>
      <c r="E19" s="77" t="s">
        <v>24</v>
      </c>
      <c r="F19" s="76" t="str">
        <f>D10</f>
        <v>TSV Sibbesse II</v>
      </c>
      <c r="G19" s="78"/>
      <c r="H19" s="101"/>
      <c r="I19" s="102"/>
      <c r="J19" s="78"/>
      <c r="K19" s="22"/>
      <c r="L19" s="20">
        <f>IF($G19+$H19&lt;&gt;4,"",IF($G19&gt;$H19,2,IF($G19=$H19,1,0)))</f>
      </c>
      <c r="M19" s="21">
        <f>IF($G19+$H19&lt;&gt;4,"",2-$L19)</f>
      </c>
      <c r="N19" s="22">
        <f>IF(AND(G19&lt;&gt;"",H19&lt;&gt;"",G19+H19&lt;&gt;4),"!!!","")</f>
      </c>
      <c r="O19" s="3"/>
      <c r="P19" s="3"/>
      <c r="Q19" s="3"/>
      <c r="R19" s="3"/>
      <c r="S19" s="3"/>
      <c r="T19" s="3"/>
      <c r="U19" s="3"/>
      <c r="V19" s="3"/>
      <c r="W19" s="3"/>
      <c r="X19" s="17"/>
      <c r="Y19" s="17"/>
      <c r="Z19" s="17"/>
      <c r="AA19" s="17"/>
      <c r="AB19" s="17"/>
    </row>
    <row r="20" spans="1:28" ht="12.75" customHeight="1">
      <c r="A20" s="80"/>
      <c r="B20" s="79"/>
      <c r="C20" s="80"/>
      <c r="D20" s="81"/>
      <c r="E20" s="81"/>
      <c r="F20" s="81"/>
      <c r="G20" s="82"/>
      <c r="H20" s="103"/>
      <c r="I20" s="104"/>
      <c r="J20" s="82"/>
      <c r="K20" s="32"/>
      <c r="L20" s="30"/>
      <c r="M20" s="31"/>
      <c r="N20" s="33"/>
      <c r="O20" s="3"/>
      <c r="P20" s="3"/>
      <c r="Q20" s="3"/>
      <c r="R20" s="3"/>
      <c r="S20" s="3"/>
      <c r="T20" s="3"/>
      <c r="U20" s="3"/>
      <c r="V20" s="3"/>
      <c r="W20" s="3"/>
      <c r="X20" s="17"/>
      <c r="Y20" s="17"/>
      <c r="Z20" s="17"/>
      <c r="AA20" s="17"/>
      <c r="AB20" s="17"/>
    </row>
    <row r="21" spans="1:14" ht="12.75" customHeight="1">
      <c r="A21" s="97">
        <v>13</v>
      </c>
      <c r="B21" s="74" t="s">
        <v>40</v>
      </c>
      <c r="C21" s="75">
        <v>43966</v>
      </c>
      <c r="D21" s="76" t="str">
        <f>D3</f>
        <v>TuS Holle/Grasdorf</v>
      </c>
      <c r="E21" s="77" t="s">
        <v>24</v>
      </c>
      <c r="F21" s="76" t="str">
        <f>F3</f>
        <v>TSV Brüggen</v>
      </c>
      <c r="G21" s="78"/>
      <c r="H21" s="101"/>
      <c r="I21" s="102"/>
      <c r="J21" s="78"/>
      <c r="K21" s="5"/>
      <c r="L21" s="20">
        <f>IF($G21+$H21&lt;&gt;4,"",IF($G21&gt;$H21,2,IF($G21=$H21,1,0)))</f>
      </c>
      <c r="M21" s="21">
        <f>IF($G21+$H21&lt;&gt;4,"",2-$L21)</f>
      </c>
      <c r="N21" s="22">
        <f>IF(AND(G21&lt;&gt;"",H21&lt;&gt;"",G21+H21&lt;&gt;4),"!!!","")</f>
      </c>
    </row>
    <row r="22" spans="1:34" ht="12.75" customHeight="1">
      <c r="A22" s="97">
        <v>14</v>
      </c>
      <c r="B22" s="74" t="s">
        <v>23</v>
      </c>
      <c r="C22" s="75">
        <v>43871</v>
      </c>
      <c r="D22" s="76" t="str">
        <f>D4</f>
        <v>MTV Bledeln</v>
      </c>
      <c r="E22" s="77" t="s">
        <v>24</v>
      </c>
      <c r="F22" s="76" t="str">
        <f>F4</f>
        <v>TSV Sibbesse II</v>
      </c>
      <c r="G22" s="78"/>
      <c r="H22" s="101"/>
      <c r="I22" s="102"/>
      <c r="J22" s="78"/>
      <c r="K22" s="22"/>
      <c r="L22" s="20">
        <f>IF($G22+$H22&lt;&gt;4,"",IF($G22&gt;$H22,2,IF($G22=$H22,1,0)))</f>
      </c>
      <c r="M22" s="21">
        <f>IF($G22+$H22&lt;&gt;4,"",2-$L22)</f>
      </c>
      <c r="N22" s="22">
        <f>IF(AND(G22&lt;&gt;"",H22&lt;&gt;"",G22+H22&lt;&gt;4),"!!!","")</f>
      </c>
      <c r="O22" s="37"/>
      <c r="P22" s="37"/>
      <c r="Q22" s="37"/>
      <c r="R22" s="37"/>
      <c r="S22" s="37"/>
      <c r="T22" s="37"/>
      <c r="U22" s="37"/>
      <c r="V22" s="37"/>
      <c r="W22" s="37"/>
      <c r="X22" s="38"/>
      <c r="Y22" s="38"/>
      <c r="Z22" s="38"/>
      <c r="AA22" s="38"/>
      <c r="AB22" s="38"/>
      <c r="AC22" s="39"/>
      <c r="AD22" s="39"/>
      <c r="AE22" s="39"/>
      <c r="AF22" s="39"/>
      <c r="AG22" s="39"/>
      <c r="AH22" s="39"/>
    </row>
    <row r="23" spans="1:14" ht="12.75" customHeight="1">
      <c r="A23" s="80"/>
      <c r="B23" s="79"/>
      <c r="C23" s="80"/>
      <c r="D23" s="81"/>
      <c r="E23" s="81"/>
      <c r="F23" s="81"/>
      <c r="G23" s="82"/>
      <c r="H23" s="103"/>
      <c r="I23" s="104"/>
      <c r="J23" s="82"/>
      <c r="K23" s="32"/>
      <c r="L23" s="30"/>
      <c r="M23" s="31"/>
      <c r="N23" s="33"/>
    </row>
    <row r="24" spans="1:14" ht="12.75" customHeight="1">
      <c r="A24" s="97">
        <v>15</v>
      </c>
      <c r="B24" s="74" t="s">
        <v>27</v>
      </c>
      <c r="C24" s="75">
        <v>43895</v>
      </c>
      <c r="D24" s="76" t="str">
        <f>D6</f>
        <v>TSV Sibbesse II</v>
      </c>
      <c r="E24" s="77" t="s">
        <v>24</v>
      </c>
      <c r="F24" s="76" t="str">
        <f>F6</f>
        <v>TuS Holle/Grasdorf</v>
      </c>
      <c r="G24" s="78">
        <v>1</v>
      </c>
      <c r="H24" s="101">
        <v>3</v>
      </c>
      <c r="I24" s="102">
        <v>90</v>
      </c>
      <c r="J24" s="78">
        <v>98</v>
      </c>
      <c r="K24" s="5"/>
      <c r="L24" s="20">
        <f>IF($G24+$H24&lt;&gt;4,"",IF($G24&gt;$H24,2,IF($G24=$H24,1,0)))</f>
        <v>0</v>
      </c>
      <c r="M24" s="21">
        <f>IF($G24+$H24&lt;&gt;4,"",2-$L24)</f>
        <v>2</v>
      </c>
      <c r="N24" s="22">
        <f>IF(AND(G24&lt;&gt;"",H24&lt;&gt;"",G24+H24&lt;&gt;4),"!!!","")</f>
      </c>
    </row>
    <row r="25" spans="1:14" ht="12.75" customHeight="1">
      <c r="A25" s="97">
        <v>16</v>
      </c>
      <c r="B25" s="74" t="s">
        <v>40</v>
      </c>
      <c r="C25" s="75">
        <v>43903</v>
      </c>
      <c r="D25" s="76" t="str">
        <f>D7</f>
        <v>TSV Brüggen</v>
      </c>
      <c r="E25" s="77" t="s">
        <v>24</v>
      </c>
      <c r="F25" s="76" t="str">
        <f>F7</f>
        <v>MTV Bledeln</v>
      </c>
      <c r="G25" s="78"/>
      <c r="H25" s="101"/>
      <c r="I25" s="102"/>
      <c r="J25" s="78"/>
      <c r="K25" s="22"/>
      <c r="L25" s="20">
        <f>IF($G25+$H25&lt;&gt;4,"",IF($G25&gt;$H25,2,IF($G25=$H25,1,0)))</f>
      </c>
      <c r="M25" s="21">
        <f>IF($G25+$H25&lt;&gt;4,"",2-$L25)</f>
      </c>
      <c r="N25" s="22">
        <f>IF(AND(G25&lt;&gt;"",H25&lt;&gt;"",G25+H25&lt;&gt;4),"!!!","")</f>
      </c>
    </row>
    <row r="26" spans="1:14" ht="12.75" customHeight="1">
      <c r="A26" s="80"/>
      <c r="B26" s="83"/>
      <c r="C26" s="84"/>
      <c r="D26" s="81"/>
      <c r="E26" s="81"/>
      <c r="F26" s="81"/>
      <c r="G26" s="82"/>
      <c r="H26" s="103"/>
      <c r="I26" s="104"/>
      <c r="J26" s="82"/>
      <c r="K26" s="32"/>
      <c r="L26" s="30"/>
      <c r="M26" s="31"/>
      <c r="N26" s="33"/>
    </row>
    <row r="27" spans="1:14" ht="12.75" customHeight="1">
      <c r="A27" s="97">
        <v>17</v>
      </c>
      <c r="B27" s="74" t="s">
        <v>40</v>
      </c>
      <c r="C27" s="75">
        <v>43889</v>
      </c>
      <c r="D27" s="76" t="str">
        <f>D9</f>
        <v>TuS Holle/Grasdorf</v>
      </c>
      <c r="E27" s="77" t="s">
        <v>24</v>
      </c>
      <c r="F27" s="76" t="str">
        <f>F9</f>
        <v>MTV Bledeln</v>
      </c>
      <c r="G27" s="78">
        <v>4</v>
      </c>
      <c r="H27" s="101">
        <v>0</v>
      </c>
      <c r="I27" s="102">
        <v>100</v>
      </c>
      <c r="J27" s="78">
        <v>66</v>
      </c>
      <c r="K27" s="5"/>
      <c r="L27" s="20">
        <f>IF($G27+$H27&lt;&gt;4,"",IF($G27&gt;$H27,2,IF($G27=$H27,1,0)))</f>
        <v>2</v>
      </c>
      <c r="M27" s="21">
        <f>IF($G27+$H27&lt;&gt;4,"",2-$L27)</f>
        <v>0</v>
      </c>
      <c r="N27" s="22">
        <f>IF(AND(G27&lt;&gt;"",H27&lt;&gt;"",G27+H27&lt;&gt;4),"!!!","")</f>
      </c>
    </row>
    <row r="28" spans="1:14" ht="12.75" customHeight="1">
      <c r="A28" s="97">
        <v>18</v>
      </c>
      <c r="B28" s="74" t="s">
        <v>27</v>
      </c>
      <c r="C28" s="75">
        <v>43958</v>
      </c>
      <c r="D28" s="76" t="str">
        <f>D10</f>
        <v>TSV Sibbesse II</v>
      </c>
      <c r="E28" s="77" t="s">
        <v>24</v>
      </c>
      <c r="F28" s="76" t="str">
        <f>F10</f>
        <v>TSV Brüggen</v>
      </c>
      <c r="G28" s="78"/>
      <c r="H28" s="101"/>
      <c r="I28" s="102"/>
      <c r="J28" s="78"/>
      <c r="K28" s="22"/>
      <c r="L28" s="20">
        <f>IF($G28+$H28&lt;&gt;4,"",IF($G28&gt;$H28,2,IF($G28=$H28,1,0)))</f>
      </c>
      <c r="M28" s="21">
        <f>IF($G28+$H28&lt;&gt;4,"",2-$L28)</f>
      </c>
      <c r="N28" s="22">
        <f>IF(AND(G28&lt;&gt;"",H28&lt;&gt;"",G28+H28&lt;&gt;4),"!!!","")</f>
      </c>
    </row>
    <row r="29" spans="1:13" ht="12.75" customHeight="1">
      <c r="A29" s="40"/>
      <c r="B29" s="40"/>
      <c r="C29" s="41"/>
      <c r="D29" s="42"/>
      <c r="E29" s="43"/>
      <c r="F29" s="44"/>
      <c r="L29" s="3"/>
      <c r="M29" s="3"/>
    </row>
    <row r="30" spans="1:35" s="49" customFormat="1" ht="12.75" customHeight="1">
      <c r="A30" s="36" t="s">
        <v>28</v>
      </c>
      <c r="B30" s="45"/>
      <c r="C30" s="45"/>
      <c r="D30" s="46"/>
      <c r="E30" s="47"/>
      <c r="F30" s="46"/>
      <c r="G30" s="107">
        <f>SUM(G3:H29)</f>
        <v>52</v>
      </c>
      <c r="H30" s="107"/>
      <c r="I30" s="107">
        <f>SUM(I3:J29)</f>
        <v>2206</v>
      </c>
      <c r="J30" s="107"/>
      <c r="K30" s="48"/>
      <c r="L30" s="107">
        <f>SUM(L3:M29)</f>
        <v>26</v>
      </c>
      <c r="M30" s="107"/>
      <c r="N30" s="38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6"/>
      <c r="AD30" s="6"/>
      <c r="AE30" s="6"/>
      <c r="AF30" s="6"/>
      <c r="AG30" s="6"/>
      <c r="AH30" s="6"/>
      <c r="AI30" s="39"/>
    </row>
    <row r="31" spans="4:6" ht="12.75">
      <c r="D31" s="44"/>
      <c r="E31" s="43"/>
      <c r="F31" s="44"/>
    </row>
    <row r="32" spans="1:34" ht="12.75">
      <c r="A32" s="100" t="s">
        <v>29</v>
      </c>
      <c r="B32" s="50"/>
      <c r="C32" s="51"/>
      <c r="D32" s="52" t="s">
        <v>59</v>
      </c>
      <c r="E32" s="43"/>
      <c r="F32" s="44"/>
      <c r="AD32" s="53" t="s">
        <v>31</v>
      </c>
      <c r="AE32" s="54"/>
      <c r="AF32" s="54"/>
      <c r="AG32" s="54"/>
      <c r="AH32" s="55"/>
    </row>
    <row r="33" spans="1:34" ht="12.75">
      <c r="A33" s="56"/>
      <c r="B33" s="56"/>
      <c r="C33" s="57"/>
      <c r="D33" s="52" t="s">
        <v>60</v>
      </c>
      <c r="E33" s="43"/>
      <c r="F33" s="44"/>
      <c r="AD33" s="58" t="s">
        <v>33</v>
      </c>
      <c r="AE33" s="59"/>
      <c r="AF33" s="59"/>
      <c r="AG33" s="59"/>
      <c r="AH33" s="60"/>
    </row>
    <row r="34" spans="1:34" ht="12.75">
      <c r="A34" s="61"/>
      <c r="B34" s="61"/>
      <c r="C34" s="62"/>
      <c r="D34" s="52" t="s">
        <v>61</v>
      </c>
      <c r="E34" s="43"/>
      <c r="F34" s="44"/>
      <c r="AD34" s="58" t="s">
        <v>35</v>
      </c>
      <c r="AE34" s="59"/>
      <c r="AF34" s="59"/>
      <c r="AG34" s="59"/>
      <c r="AH34" s="60"/>
    </row>
    <row r="35" spans="1:34" ht="12.75">
      <c r="A35" s="61"/>
      <c r="B35" s="61"/>
      <c r="C35" s="62"/>
      <c r="D35" s="52" t="s">
        <v>62</v>
      </c>
      <c r="E35" s="43"/>
      <c r="F35" s="44"/>
      <c r="AD35" s="58" t="s">
        <v>37</v>
      </c>
      <c r="AE35" s="59"/>
      <c r="AF35" s="59"/>
      <c r="AG35" s="59"/>
      <c r="AH35" s="60"/>
    </row>
    <row r="36" spans="5:34" ht="12.75">
      <c r="E36" s="43"/>
      <c r="F36" s="44"/>
      <c r="AD36" s="63" t="s">
        <v>38</v>
      </c>
      <c r="AE36" s="64"/>
      <c r="AF36" s="64"/>
      <c r="AG36" s="64"/>
      <c r="AH36" s="65"/>
    </row>
  </sheetData>
  <sheetProtection selectLockedCells="1" selectUnlockedCells="1"/>
  <mergeCells count="12">
    <mergeCell ref="O1:AA1"/>
    <mergeCell ref="AC1:AH1"/>
    <mergeCell ref="D2:F2"/>
    <mergeCell ref="G2:H2"/>
    <mergeCell ref="I2:J2"/>
    <mergeCell ref="L2:M2"/>
    <mergeCell ref="G30:H30"/>
    <mergeCell ref="I30:J30"/>
    <mergeCell ref="L30:M30"/>
    <mergeCell ref="A1:F1"/>
    <mergeCell ref="G1:J1"/>
    <mergeCell ref="L1:M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Sürig</dc:creator>
  <cp:keywords/>
  <dc:description/>
  <cp:lastModifiedBy>Frank Sürig</cp:lastModifiedBy>
  <dcterms:created xsi:type="dcterms:W3CDTF">2019-09-04T08:01:21Z</dcterms:created>
  <dcterms:modified xsi:type="dcterms:W3CDTF">2020-03-15T10:43:11Z</dcterms:modified>
  <cp:category/>
  <cp:version/>
  <cp:contentType/>
  <cp:contentStatus/>
</cp:coreProperties>
</file>